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tin\OneDrive\Escritorio\"/>
    </mc:Choice>
  </mc:AlternateContent>
  <xr:revisionPtr revIDLastSave="0" documentId="8_{AFC30CF2-A5CE-4CDA-ACD1-E3B8EEE9C926}" xr6:coauthVersionLast="45" xr6:coauthVersionMax="45" xr10:uidLastSave="{00000000-0000-0000-0000-000000000000}"/>
  <bookViews>
    <workbookView xWindow="-120" yWindow="-120" windowWidth="20730" windowHeight="11160" tabRatio="933" xr2:uid="{5F4636A7-4C64-44E1-B55C-7FA863398D67}"/>
  </bookViews>
  <sheets>
    <sheet name="Auxilio de transporte" sheetId="4" r:id="rId1"/>
    <sheet name="SMLV" sheetId="3" r:id="rId2"/>
    <sheet name="Inflación" sheetId="2" r:id="rId3"/>
    <sheet name="Datos" sheetId="1" r:id="rId4"/>
    <sheet name="Activos" sheetId="8" r:id="rId5"/>
    <sheet name="Nómina" sheetId="11" r:id="rId6"/>
    <sheet name="Gastos" sheetId="9" r:id="rId7"/>
    <sheet name="Ventas" sheetId="5" r:id="rId8"/>
    <sheet name="Equilibrio" sheetId="15" r:id="rId9"/>
    <sheet name="Flujo de efectivo" sheetId="12" r:id="rId10"/>
    <sheet name="P&amp;G" sheetId="16" r:id="rId11"/>
    <sheet name="Balance General" sheetId="17" r:id="rId12"/>
    <sheet name="Evaluación" sheetId="18" r:id="rId13"/>
    <sheet name="Prestamos" sheetId="14" state="hidden" r:id="rId14"/>
  </sheets>
  <externalReferences>
    <externalReference r:id="rId15"/>
    <externalReference r:id="rId16"/>
  </externalReferences>
  <definedNames>
    <definedName name="a_1">#REF!</definedName>
    <definedName name="a_2">#REF!</definedName>
    <definedName name="a_3">#REF!</definedName>
    <definedName name="ALPHA">[1]suav_simple!$B$54</definedName>
    <definedName name="ALPHA_2" localSheetId="0">'Auxilio de transporte'!$C$40</definedName>
    <definedName name="ALPHA_2" localSheetId="2">[1]suav_doble!$B$54</definedName>
    <definedName name="ALPHA_2">[2]SMLV!$B$45</definedName>
    <definedName name="k">'[1]prom_movil (N=12)'!$J$18</definedName>
    <definedName name="solver_adj" localSheetId="0" hidden="1">'Auxilio de transporte'!$C$40</definedName>
    <definedName name="solver_adj" localSheetId="2" hidden="1">Inflación!$C$55</definedName>
    <definedName name="solver_adj" localSheetId="1" hidden="1">SMLV!$C$46</definedName>
    <definedName name="solver_cvg" localSheetId="0" hidden="1">0.0001</definedName>
    <definedName name="solver_cvg" localSheetId="2" hidden="1">0.0001</definedName>
    <definedName name="solver_cvg" localSheetId="1" hidden="1">0.0001</definedName>
    <definedName name="solver_drv" localSheetId="0" hidden="1">1</definedName>
    <definedName name="solver_drv" localSheetId="2" hidden="1">1</definedName>
    <definedName name="solver_drv" localSheetId="1" hidden="1">1</definedName>
    <definedName name="solver_eng" localSheetId="0" hidden="1">1</definedName>
    <definedName name="solver_eng" localSheetId="2" hidden="1">1</definedName>
    <definedName name="solver_eng" localSheetId="1" hidden="1">1</definedName>
    <definedName name="solver_est" localSheetId="0" hidden="1">1</definedName>
    <definedName name="solver_est" localSheetId="2" hidden="1">1</definedName>
    <definedName name="solver_est" localSheetId="1" hidden="1">1</definedName>
    <definedName name="solver_itr" localSheetId="0" hidden="1">100</definedName>
    <definedName name="solver_itr" localSheetId="2" hidden="1">100</definedName>
    <definedName name="solver_itr" localSheetId="1" hidden="1">100</definedName>
    <definedName name="solver_lhs1" localSheetId="0" hidden="1">'Auxilio de transporte'!$C$40</definedName>
    <definedName name="solver_lhs1" localSheetId="2" hidden="1">Inflación!$C$55</definedName>
    <definedName name="solver_lhs1" localSheetId="1" hidden="1">SMLV!$C$46</definedName>
    <definedName name="solver_lhs2" localSheetId="0" hidden="1">'Auxilio de transporte'!$C$40</definedName>
    <definedName name="solver_lhs2" localSheetId="2" hidden="1">Inflación!$C$55</definedName>
    <definedName name="solver_lhs2" localSheetId="1" hidden="1">SMLV!$C$46</definedName>
    <definedName name="solver_lin" localSheetId="0" hidden="1">2</definedName>
    <definedName name="solver_lin" localSheetId="2" hidden="1">2</definedName>
    <definedName name="solver_lin" localSheetId="1" hidden="1">2</definedName>
    <definedName name="solver_mip" localSheetId="0" hidden="1">2147483647</definedName>
    <definedName name="solver_mip" localSheetId="2" hidden="1">2147483647</definedName>
    <definedName name="solver_mip" localSheetId="1" hidden="1">2147483647</definedName>
    <definedName name="solver_mni" localSheetId="0" hidden="1">30</definedName>
    <definedName name="solver_mni" localSheetId="2" hidden="1">30</definedName>
    <definedName name="solver_mni" localSheetId="1" hidden="1">30</definedName>
    <definedName name="solver_mrt" localSheetId="0" hidden="1">0.075</definedName>
    <definedName name="solver_mrt" localSheetId="2" hidden="1">0.075</definedName>
    <definedName name="solver_mrt" localSheetId="1" hidden="1">0.075</definedName>
    <definedName name="solver_msl" localSheetId="0" hidden="1">2</definedName>
    <definedName name="solver_msl" localSheetId="2" hidden="1">2</definedName>
    <definedName name="solver_msl" localSheetId="1" hidden="1">2</definedName>
    <definedName name="solver_neg" localSheetId="0" hidden="1">2</definedName>
    <definedName name="solver_neg" localSheetId="2" hidden="1">2</definedName>
    <definedName name="solver_neg" localSheetId="1" hidden="1">2</definedName>
    <definedName name="solver_nod" localSheetId="0" hidden="1">2147483647</definedName>
    <definedName name="solver_nod" localSheetId="2" hidden="1">2147483647</definedName>
    <definedName name="solver_nod" localSheetId="1" hidden="1">2147483647</definedName>
    <definedName name="solver_num" localSheetId="0" hidden="1">2</definedName>
    <definedName name="solver_num" localSheetId="2" hidden="1">2</definedName>
    <definedName name="solver_num" localSheetId="1" hidden="1">2</definedName>
    <definedName name="solver_nwt" localSheetId="0" hidden="1">1</definedName>
    <definedName name="solver_nwt" localSheetId="2" hidden="1">1</definedName>
    <definedName name="solver_nwt" localSheetId="1" hidden="1">1</definedName>
    <definedName name="solver_opt" localSheetId="0" hidden="1">'Auxilio de transporte'!$J$41</definedName>
    <definedName name="solver_opt" localSheetId="2" hidden="1">Inflación!$I$56</definedName>
    <definedName name="solver_opt" localSheetId="1" hidden="1">SMLV!$J$47</definedName>
    <definedName name="solver_pre" localSheetId="0" hidden="1">0.000001</definedName>
    <definedName name="solver_pre" localSheetId="2" hidden="1">0.000001</definedName>
    <definedName name="solver_pre" localSheetId="1" hidden="1">0.000001</definedName>
    <definedName name="solver_rbv" localSheetId="0" hidden="1">1</definedName>
    <definedName name="solver_rbv" localSheetId="2" hidden="1">1</definedName>
    <definedName name="solver_rbv" localSheetId="1" hidden="1">1</definedName>
    <definedName name="solver_rel1" localSheetId="0" hidden="1">1</definedName>
    <definedName name="solver_rel1" localSheetId="2" hidden="1">1</definedName>
    <definedName name="solver_rel1" localSheetId="1" hidden="1">1</definedName>
    <definedName name="solver_rel2" localSheetId="0" hidden="1">3</definedName>
    <definedName name="solver_rel2" localSheetId="2" hidden="1">3</definedName>
    <definedName name="solver_rel2" localSheetId="1" hidden="1">3</definedName>
    <definedName name="solver_rhs1" localSheetId="0" hidden="1">'Auxilio de transporte'!$C$42</definedName>
    <definedName name="solver_rhs1" localSheetId="2" hidden="1">Inflación!$C$57</definedName>
    <definedName name="solver_rhs1" localSheetId="1" hidden="1">SMLV!$C$48</definedName>
    <definedName name="solver_rhs2" localSheetId="0" hidden="1">'Auxilio de transporte'!$C$41</definedName>
    <definedName name="solver_rhs2" localSheetId="2" hidden="1">Inflación!$C$56</definedName>
    <definedName name="solver_rhs2" localSheetId="1" hidden="1">SMLV!$C$47</definedName>
    <definedName name="solver_rlx" localSheetId="0" hidden="1">1</definedName>
    <definedName name="solver_rlx" localSheetId="2" hidden="1">1</definedName>
    <definedName name="solver_rlx" localSheetId="1" hidden="1">1</definedName>
    <definedName name="solver_rsd" localSheetId="0" hidden="1">0</definedName>
    <definedName name="solver_rsd" localSheetId="2" hidden="1">0</definedName>
    <definedName name="solver_rsd" localSheetId="1" hidden="1">0</definedName>
    <definedName name="solver_scl" localSheetId="0" hidden="1">2</definedName>
    <definedName name="solver_scl" localSheetId="2" hidden="1">2</definedName>
    <definedName name="solver_scl" localSheetId="1" hidden="1">2</definedName>
    <definedName name="solver_sho" localSheetId="0" hidden="1">2</definedName>
    <definedName name="solver_sho" localSheetId="2" hidden="1">2</definedName>
    <definedName name="solver_sho" localSheetId="1" hidden="1">2</definedName>
    <definedName name="solver_ssz" localSheetId="0" hidden="1">100</definedName>
    <definedName name="solver_ssz" localSheetId="2" hidden="1">100</definedName>
    <definedName name="solver_ssz" localSheetId="1" hidden="1">100</definedName>
    <definedName name="solver_tim" localSheetId="0" hidden="1">100</definedName>
    <definedName name="solver_tim" localSheetId="2" hidden="1">100</definedName>
    <definedName name="solver_tim" localSheetId="1" hidden="1">100</definedName>
    <definedName name="solver_tol" localSheetId="0" hidden="1">0.05</definedName>
    <definedName name="solver_tol" localSheetId="2" hidden="1">0.05</definedName>
    <definedName name="solver_tol" localSheetId="1" hidden="1">0.05</definedName>
    <definedName name="solver_typ" localSheetId="0" hidden="1">2</definedName>
    <definedName name="solver_typ" localSheetId="2" hidden="1">2</definedName>
    <definedName name="solver_typ" localSheetId="1" hidden="1">2</definedName>
    <definedName name="solver_val" localSheetId="0" hidden="1">0</definedName>
    <definedName name="solver_val" localSheetId="2" hidden="1">0</definedName>
    <definedName name="solver_val" localSheetId="1" hidden="1">0</definedName>
    <definedName name="solver_ver" localSheetId="0" hidden="1">3</definedName>
    <definedName name="solver_ver" localSheetId="2" hidden="1">3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8" l="1"/>
  <c r="D12" i="15"/>
  <c r="D25" i="17" l="1"/>
  <c r="E25" i="17"/>
  <c r="F25" i="17"/>
  <c r="G25" i="17"/>
  <c r="H25" i="17"/>
  <c r="R12" i="5"/>
  <c r="Q12" i="5"/>
  <c r="L7" i="17"/>
  <c r="M6" i="17"/>
  <c r="N6" i="17"/>
  <c r="O6" i="17"/>
  <c r="P6" i="17"/>
  <c r="L6" i="17"/>
  <c r="F7" i="17"/>
  <c r="G7" i="17"/>
  <c r="H7" i="17"/>
  <c r="E7" i="17"/>
  <c r="T12" i="5"/>
  <c r="U12" i="5"/>
  <c r="S12" i="5"/>
  <c r="E20" i="1" l="1"/>
  <c r="E6" i="18"/>
  <c r="F6" i="18"/>
  <c r="G6" i="18"/>
  <c r="H6" i="18"/>
  <c r="D6" i="18"/>
  <c r="D7" i="18"/>
  <c r="E7" i="18"/>
  <c r="F7" i="18"/>
  <c r="G7" i="18"/>
  <c r="H7" i="18"/>
  <c r="E22" i="2" l="1"/>
  <c r="B51" i="2"/>
  <c r="B50" i="2" s="1"/>
  <c r="B49" i="2" s="1"/>
  <c r="B48" i="2" s="1"/>
  <c r="B47" i="2" s="1"/>
  <c r="B46" i="2" s="1"/>
  <c r="B45" i="2" s="1"/>
  <c r="B44" i="2" s="1"/>
  <c r="B43" i="2" s="1"/>
  <c r="B42" i="2" s="1"/>
  <c r="B41" i="2" s="1"/>
  <c r="B40" i="2" s="1"/>
  <c r="B39" i="2" s="1"/>
  <c r="B38" i="2" s="1"/>
  <c r="B37" i="2" s="1"/>
  <c r="B36" i="2" s="1"/>
  <c r="B35" i="2" s="1"/>
  <c r="B34" i="2" s="1"/>
  <c r="B33" i="2" s="1"/>
  <c r="B32" i="2" s="1"/>
  <c r="B31" i="2" s="1"/>
  <c r="B30" i="2" s="1"/>
  <c r="B29" i="2" s="1"/>
  <c r="B28" i="2" s="1"/>
  <c r="B27" i="2" s="1"/>
  <c r="B26" i="2" s="1"/>
  <c r="B25" i="2" s="1"/>
  <c r="B24" i="2" s="1"/>
  <c r="B23" i="2" s="1"/>
  <c r="B22" i="2" s="1"/>
  <c r="B21" i="2" s="1"/>
  <c r="B20" i="2" s="1"/>
  <c r="B19" i="2" s="1"/>
  <c r="B18" i="2" s="1"/>
  <c r="B17" i="2" s="1"/>
  <c r="B16" i="2" s="1"/>
  <c r="B15" i="2" s="1"/>
  <c r="B14" i="2" s="1"/>
  <c r="B13" i="2" s="1"/>
  <c r="B12" i="2" s="1"/>
  <c r="B11" i="2" s="1"/>
  <c r="B10" i="2" s="1"/>
  <c r="B9" i="2" s="1"/>
  <c r="B8" i="2" s="1"/>
  <c r="B7" i="2" s="1"/>
  <c r="B6" i="2" s="1"/>
  <c r="B5" i="2" s="1"/>
  <c r="B4" i="2" s="1"/>
  <c r="B3" i="2" s="1"/>
  <c r="B40" i="3"/>
  <c r="B41" i="3" s="1"/>
  <c r="B42" i="3" s="1"/>
  <c r="B43" i="3" s="1"/>
  <c r="B44" i="3" s="1"/>
  <c r="B38" i="3"/>
  <c r="B37" i="3" s="1"/>
  <c r="B36" i="3" s="1"/>
  <c r="B35" i="3" s="1"/>
  <c r="B34" i="3" s="1"/>
  <c r="B33" i="3" s="1"/>
  <c r="B32" i="3" s="1"/>
  <c r="B31" i="3" s="1"/>
  <c r="B30" i="3" s="1"/>
  <c r="B29" i="3" s="1"/>
  <c r="B28" i="3" s="1"/>
  <c r="B27" i="3" s="1"/>
  <c r="B26" i="3" s="1"/>
  <c r="B25" i="3" s="1"/>
  <c r="B24" i="3" s="1"/>
  <c r="B23" i="3" s="1"/>
  <c r="B22" i="3" s="1"/>
  <c r="B21" i="3" s="1"/>
  <c r="B20" i="3" s="1"/>
  <c r="B19" i="3" s="1"/>
  <c r="B18" i="3" s="1"/>
  <c r="B17" i="3" s="1"/>
  <c r="B16" i="3" s="1"/>
  <c r="B15" i="3" s="1"/>
  <c r="B14" i="3" s="1"/>
  <c r="B13" i="3" s="1"/>
  <c r="B12" i="3" s="1"/>
  <c r="B11" i="3" s="1"/>
  <c r="B10" i="3" s="1"/>
  <c r="B9" i="3" s="1"/>
  <c r="B8" i="3" s="1"/>
  <c r="B7" i="3" s="1"/>
  <c r="B6" i="3" s="1"/>
  <c r="B5" i="3" s="1"/>
  <c r="B4" i="3" s="1"/>
  <c r="B3" i="3" s="1"/>
  <c r="F5" i="4"/>
  <c r="F6" i="4" s="1"/>
  <c r="F7" i="4" s="1"/>
  <c r="E19" i="4" s="1"/>
  <c r="B34" i="4"/>
  <c r="B35" i="4" s="1"/>
  <c r="B36" i="4" s="1"/>
  <c r="B37" i="4" s="1"/>
  <c r="B38" i="4" s="1"/>
  <c r="B32" i="4"/>
  <c r="B31" i="4" s="1"/>
  <c r="B30" i="4" s="1"/>
  <c r="B29" i="4" s="1"/>
  <c r="B28" i="4" s="1"/>
  <c r="B27" i="4" s="1"/>
  <c r="B26" i="4" s="1"/>
  <c r="B25" i="4" s="1"/>
  <c r="B24" i="4" s="1"/>
  <c r="B23" i="4" s="1"/>
  <c r="B22" i="4" s="1"/>
  <c r="B21" i="4" s="1"/>
  <c r="B20" i="4" s="1"/>
  <c r="B19" i="4" s="1"/>
  <c r="B18" i="4" s="1"/>
  <c r="B17" i="4" s="1"/>
  <c r="B16" i="4" s="1"/>
  <c r="B15" i="4" s="1"/>
  <c r="B14" i="4" s="1"/>
  <c r="B13" i="4" s="1"/>
  <c r="B12" i="4" s="1"/>
  <c r="B11" i="4" s="1"/>
  <c r="B10" i="4" s="1"/>
  <c r="B9" i="4" s="1"/>
  <c r="B8" i="4" s="1"/>
  <c r="B7" i="4" s="1"/>
  <c r="B6" i="4" s="1"/>
  <c r="B5" i="4" s="1"/>
  <c r="B4" i="4" s="1"/>
  <c r="B3" i="4" s="1"/>
  <c r="F19" i="4" l="1"/>
  <c r="P18" i="12"/>
  <c r="P17" i="12"/>
  <c r="C16" i="12"/>
  <c r="D20" i="1" l="1"/>
  <c r="C20" i="12" l="1"/>
  <c r="P5" i="12" s="1"/>
  <c r="E10" i="18"/>
  <c r="F10" i="18"/>
  <c r="G10" i="18"/>
  <c r="H10" i="18"/>
  <c r="D10" i="18"/>
  <c r="C10" i="18"/>
  <c r="C8" i="12"/>
  <c r="C7" i="12"/>
  <c r="E12" i="15"/>
  <c r="F12" i="15"/>
  <c r="G12" i="15"/>
  <c r="H12" i="15"/>
  <c r="Q6" i="5"/>
  <c r="P10" i="5"/>
  <c r="O10" i="5"/>
  <c r="N10" i="5"/>
  <c r="M10" i="5"/>
  <c r="L10" i="5"/>
  <c r="K10" i="5"/>
  <c r="J10" i="5"/>
  <c r="I10" i="5"/>
  <c r="H10" i="5"/>
  <c r="G10" i="5"/>
  <c r="F10" i="5"/>
  <c r="E10" i="5"/>
  <c r="Q10" i="5"/>
  <c r="Q5" i="5"/>
  <c r="R10" i="5"/>
  <c r="S10" i="5"/>
  <c r="T10" i="5"/>
  <c r="U10" i="5"/>
  <c r="R5" i="5" l="1"/>
  <c r="R6" i="5" l="1"/>
  <c r="D5" i="15" l="1"/>
  <c r="C9" i="15" l="1"/>
  <c r="C10" i="15" s="1"/>
  <c r="C19" i="15"/>
  <c r="E5" i="15"/>
  <c r="F5" i="15"/>
  <c r="G5" i="15"/>
  <c r="H5" i="15"/>
  <c r="S5" i="5"/>
  <c r="S6" i="5" s="1"/>
  <c r="T5" i="5" l="1"/>
  <c r="C11" i="18"/>
  <c r="D5" i="18"/>
  <c r="C12" i="18" l="1"/>
  <c r="D31" i="16"/>
  <c r="C14" i="18" l="1"/>
  <c r="C16" i="18" s="1"/>
  <c r="P14" i="12"/>
  <c r="G7" i="16"/>
  <c r="D7" i="16"/>
  <c r="E7" i="16"/>
  <c r="F7" i="16"/>
  <c r="C7" i="16"/>
  <c r="C19" i="17" l="1"/>
  <c r="C7" i="14"/>
  <c r="D33" i="1"/>
  <c r="C8" i="14"/>
  <c r="D11" i="18"/>
  <c r="E11" i="18"/>
  <c r="F11" i="18"/>
  <c r="G11" i="18"/>
  <c r="H11" i="18"/>
  <c r="D10" i="17"/>
  <c r="E10" i="17"/>
  <c r="F10" i="17"/>
  <c r="G10" i="17"/>
  <c r="H10" i="17"/>
  <c r="C10" i="17"/>
  <c r="C9" i="17"/>
  <c r="C11" i="12"/>
  <c r="C38" i="9"/>
  <c r="C50" i="9"/>
  <c r="D49" i="9"/>
  <c r="C5" i="9"/>
  <c r="C4" i="9"/>
  <c r="E16" i="8"/>
  <c r="E17" i="8"/>
  <c r="E18" i="8"/>
  <c r="E15" i="8"/>
  <c r="E9" i="8"/>
  <c r="E20" i="8"/>
  <c r="E19" i="8" s="1"/>
  <c r="C27" i="8" s="1"/>
  <c r="E8" i="8"/>
  <c r="E10" i="8"/>
  <c r="E11" i="8"/>
  <c r="E12" i="8"/>
  <c r="E13" i="8"/>
  <c r="E7" i="8"/>
  <c r="E5" i="8"/>
  <c r="C4" i="8"/>
  <c r="E4" i="8" s="1"/>
  <c r="H12" i="18" l="1"/>
  <c r="F12" i="18"/>
  <c r="D12" i="18"/>
  <c r="G12" i="18"/>
  <c r="E12" i="18"/>
  <c r="C53" i="17"/>
  <c r="C8" i="17"/>
  <c r="C18" i="17"/>
  <c r="D19" i="17"/>
  <c r="C59" i="17" s="1"/>
  <c r="C21" i="9"/>
  <c r="U5" i="5"/>
  <c r="D21" i="1"/>
  <c r="E6" i="8"/>
  <c r="E14" i="8"/>
  <c r="E3" i="8"/>
  <c r="G9" i="16"/>
  <c r="E19" i="17" l="1"/>
  <c r="D59" i="17" s="1"/>
  <c r="D69" i="11"/>
  <c r="C26" i="8"/>
  <c r="C25" i="8"/>
  <c r="C24" i="8"/>
  <c r="F19" i="17" l="1"/>
  <c r="E59" i="17" s="1"/>
  <c r="C69" i="11"/>
  <c r="D28" i="8"/>
  <c r="G19" i="17" l="1"/>
  <c r="F59" i="17" s="1"/>
  <c r="H19" i="17" l="1"/>
  <c r="G59" i="17" s="1"/>
  <c r="C11" i="14" l="1"/>
  <c r="G11" i="14" s="1"/>
  <c r="C17" i="17" s="1"/>
  <c r="P15" i="12"/>
  <c r="Q15" i="12" s="1"/>
  <c r="R15" i="12" s="1"/>
  <c r="S15" i="12" s="1"/>
  <c r="T15" i="12" s="1"/>
  <c r="C15" i="17" l="1"/>
  <c r="C23" i="17" l="1"/>
  <c r="C42" i="17" s="1"/>
  <c r="E21" i="8"/>
  <c r="C43" i="17" l="1"/>
  <c r="C41" i="17"/>
  <c r="C39" i="17"/>
  <c r="C38" i="17"/>
  <c r="C29" i="8"/>
  <c r="E9" i="16" l="1"/>
  <c r="F9" i="16" l="1"/>
  <c r="T6" i="5" l="1"/>
  <c r="U6" i="5" l="1"/>
  <c r="D5" i="12" l="1"/>
  <c r="C6" i="17" l="1"/>
  <c r="L15" i="17" s="1"/>
  <c r="D7" i="1"/>
  <c r="D6" i="1"/>
  <c r="F5" i="3"/>
  <c r="F6" i="3" s="1"/>
  <c r="F7" i="3" s="1"/>
  <c r="E23" i="2"/>
  <c r="C5" i="17" l="1"/>
  <c r="E24" i="2"/>
  <c r="F24" i="2"/>
  <c r="F23" i="2"/>
  <c r="C12" i="17" l="1"/>
  <c r="K11" i="17" s="1"/>
  <c r="G20" i="4"/>
  <c r="E20" i="4"/>
  <c r="F20" i="4" s="1"/>
  <c r="G24" i="2"/>
  <c r="H24" i="2" s="1"/>
  <c r="I24" i="2" s="1"/>
  <c r="G23" i="2"/>
  <c r="E25" i="2"/>
  <c r="F25" i="2"/>
  <c r="C35" i="17" l="1"/>
  <c r="C34" i="17"/>
  <c r="C32" i="17"/>
  <c r="C31" i="17"/>
  <c r="E21" i="4"/>
  <c r="G21" i="4"/>
  <c r="H20" i="4"/>
  <c r="H20" i="3"/>
  <c r="G25" i="2"/>
  <c r="H25" i="2" s="1"/>
  <c r="I25" i="2" s="1"/>
  <c r="F26" i="2"/>
  <c r="E26" i="2"/>
  <c r="H23" i="2"/>
  <c r="H21" i="4" l="1"/>
  <c r="I21" i="4" s="1"/>
  <c r="J21" i="4" s="1"/>
  <c r="I20" i="4"/>
  <c r="E22" i="4"/>
  <c r="F21" i="4"/>
  <c r="G22" i="4" s="1"/>
  <c r="H21" i="3"/>
  <c r="I21" i="3" s="1"/>
  <c r="J21" i="3" s="1"/>
  <c r="I20" i="3"/>
  <c r="I23" i="2"/>
  <c r="F27" i="2"/>
  <c r="E27" i="2"/>
  <c r="G26" i="2"/>
  <c r="H22" i="4" l="1"/>
  <c r="F22" i="4"/>
  <c r="G23" i="4" s="1"/>
  <c r="E23" i="4"/>
  <c r="J20" i="4"/>
  <c r="H22" i="3"/>
  <c r="J20" i="3"/>
  <c r="H26" i="2"/>
  <c r="F28" i="2"/>
  <c r="E28" i="2"/>
  <c r="G27" i="2"/>
  <c r="H27" i="2" s="1"/>
  <c r="I27" i="2" s="1"/>
  <c r="H23" i="4" l="1"/>
  <c r="I22" i="4"/>
  <c r="E24" i="4"/>
  <c r="F23" i="4"/>
  <c r="G24" i="4" s="1"/>
  <c r="H23" i="3"/>
  <c r="I23" i="3" s="1"/>
  <c r="J23" i="3" s="1"/>
  <c r="I22" i="3"/>
  <c r="F29" i="2"/>
  <c r="E29" i="2"/>
  <c r="G28" i="2"/>
  <c r="I26" i="2"/>
  <c r="I23" i="4" l="1"/>
  <c r="J23" i="4" s="1"/>
  <c r="H24" i="4"/>
  <c r="E25" i="4"/>
  <c r="F24" i="4"/>
  <c r="G25" i="4" s="1"/>
  <c r="J22" i="4"/>
  <c r="H24" i="3"/>
  <c r="J22" i="3"/>
  <c r="H28" i="2"/>
  <c r="F30" i="2"/>
  <c r="E30" i="2"/>
  <c r="G29" i="2"/>
  <c r="H29" i="2" s="1"/>
  <c r="I29" i="2" s="1"/>
  <c r="H25" i="4" l="1"/>
  <c r="I25" i="4" s="1"/>
  <c r="J25" i="4" s="1"/>
  <c r="I24" i="4"/>
  <c r="E26" i="4"/>
  <c r="F25" i="4"/>
  <c r="G26" i="4" s="1"/>
  <c r="H25" i="3"/>
  <c r="I25" i="3" s="1"/>
  <c r="J25" i="3" s="1"/>
  <c r="I24" i="3"/>
  <c r="F31" i="2"/>
  <c r="E31" i="2"/>
  <c r="G30" i="2"/>
  <c r="I28" i="2"/>
  <c r="H26" i="4" l="1"/>
  <c r="I26" i="4" s="1"/>
  <c r="J26" i="4" s="1"/>
  <c r="J24" i="4"/>
  <c r="F26" i="4"/>
  <c r="G27" i="4" s="1"/>
  <c r="E27" i="4"/>
  <c r="H26" i="3"/>
  <c r="J24" i="3"/>
  <c r="H30" i="2"/>
  <c r="F32" i="2"/>
  <c r="E32" i="2"/>
  <c r="G31" i="2"/>
  <c r="H31" i="2" s="1"/>
  <c r="I31" i="2" s="1"/>
  <c r="E28" i="4" l="1"/>
  <c r="F27" i="4"/>
  <c r="G28" i="4" s="1"/>
  <c r="H27" i="4"/>
  <c r="H27" i="3"/>
  <c r="I27" i="3" s="1"/>
  <c r="J27" i="3" s="1"/>
  <c r="I26" i="3"/>
  <c r="F33" i="2"/>
  <c r="E33" i="2"/>
  <c r="G32" i="2"/>
  <c r="I30" i="2"/>
  <c r="H28" i="4" l="1"/>
  <c r="I28" i="4" s="1"/>
  <c r="J28" i="4" s="1"/>
  <c r="I27" i="4"/>
  <c r="E29" i="4"/>
  <c r="F28" i="4"/>
  <c r="G29" i="4" s="1"/>
  <c r="H28" i="3"/>
  <c r="J26" i="3"/>
  <c r="H32" i="2"/>
  <c r="F34" i="2"/>
  <c r="E34" i="2"/>
  <c r="G33" i="2"/>
  <c r="H33" i="2" s="1"/>
  <c r="I33" i="2" s="1"/>
  <c r="H29" i="4" l="1"/>
  <c r="I29" i="4" s="1"/>
  <c r="J29" i="4" s="1"/>
  <c r="E30" i="4"/>
  <c r="F29" i="4"/>
  <c r="G30" i="4" s="1"/>
  <c r="J27" i="4"/>
  <c r="H29" i="3"/>
  <c r="I29" i="3" s="1"/>
  <c r="J29" i="3" s="1"/>
  <c r="I28" i="3"/>
  <c r="F35" i="2"/>
  <c r="E35" i="2"/>
  <c r="G34" i="2"/>
  <c r="H34" i="2" s="1"/>
  <c r="I34" i="2" s="1"/>
  <c r="I32" i="2"/>
  <c r="H30" i="4" l="1"/>
  <c r="I30" i="4" s="1"/>
  <c r="E31" i="4"/>
  <c r="F30" i="4"/>
  <c r="G31" i="4" s="1"/>
  <c r="H30" i="3"/>
  <c r="I30" i="3" s="1"/>
  <c r="J30" i="3" s="1"/>
  <c r="J28" i="3"/>
  <c r="F36" i="2"/>
  <c r="E36" i="2"/>
  <c r="G35" i="2"/>
  <c r="H35" i="2" s="1"/>
  <c r="I35" i="2" s="1"/>
  <c r="H31" i="4" l="1"/>
  <c r="I31" i="4" s="1"/>
  <c r="J31" i="4" s="1"/>
  <c r="E32" i="4"/>
  <c r="F31" i="4"/>
  <c r="G32" i="4" s="1"/>
  <c r="J30" i="4"/>
  <c r="H31" i="3"/>
  <c r="I31" i="3" s="1"/>
  <c r="J31" i="3" s="1"/>
  <c r="F37" i="2"/>
  <c r="E37" i="2"/>
  <c r="G36" i="2"/>
  <c r="H36" i="2" s="1"/>
  <c r="I36" i="2" s="1"/>
  <c r="H32" i="4" l="1"/>
  <c r="I32" i="4" s="1"/>
  <c r="J32" i="4" s="1"/>
  <c r="E33" i="4"/>
  <c r="F32" i="4"/>
  <c r="G33" i="4" s="1"/>
  <c r="H32" i="3"/>
  <c r="I32" i="3" s="1"/>
  <c r="J32" i="3" s="1"/>
  <c r="F38" i="2"/>
  <c r="E38" i="2"/>
  <c r="G37" i="2"/>
  <c r="H37" i="2" s="1"/>
  <c r="I37" i="2" s="1"/>
  <c r="H33" i="4" l="1"/>
  <c r="H40" i="4" s="1"/>
  <c r="F33" i="4"/>
  <c r="G38" i="4" s="1"/>
  <c r="H33" i="3"/>
  <c r="I33" i="3" s="1"/>
  <c r="J33" i="3" s="1"/>
  <c r="F39" i="2"/>
  <c r="E39" i="2"/>
  <c r="G38" i="2"/>
  <c r="H38" i="2" s="1"/>
  <c r="I38" i="2" s="1"/>
  <c r="G34" i="4" l="1"/>
  <c r="G35" i="4"/>
  <c r="G37" i="4"/>
  <c r="G36" i="4"/>
  <c r="I33" i="4"/>
  <c r="I40" i="4" s="1"/>
  <c r="I41" i="4" s="1"/>
  <c r="I42" i="4" s="1"/>
  <c r="H34" i="3"/>
  <c r="I34" i="3" s="1"/>
  <c r="J34" i="3" s="1"/>
  <c r="F40" i="2"/>
  <c r="E40" i="2"/>
  <c r="G39" i="2"/>
  <c r="H39" i="2" s="1"/>
  <c r="I39" i="2" s="1"/>
  <c r="J33" i="4" l="1"/>
  <c r="H35" i="3"/>
  <c r="I35" i="3" s="1"/>
  <c r="J35" i="3" s="1"/>
  <c r="F41" i="2"/>
  <c r="E41" i="2"/>
  <c r="G40" i="2"/>
  <c r="H40" i="2" s="1"/>
  <c r="I40" i="2" s="1"/>
  <c r="J40" i="4" l="1"/>
  <c r="J41" i="4" s="1"/>
  <c r="H36" i="3"/>
  <c r="I36" i="3" s="1"/>
  <c r="J36" i="3" s="1"/>
  <c r="F42" i="2"/>
  <c r="E42" i="2"/>
  <c r="G41" i="2"/>
  <c r="H41" i="2" s="1"/>
  <c r="I41" i="2" s="1"/>
  <c r="J42" i="4" l="1"/>
  <c r="E7" i="1" s="1"/>
  <c r="G7" i="1"/>
  <c r="H37" i="3"/>
  <c r="I37" i="3" s="1"/>
  <c r="J37" i="3" s="1"/>
  <c r="F43" i="2"/>
  <c r="E43" i="2"/>
  <c r="G42" i="2"/>
  <c r="H42" i="2" s="1"/>
  <c r="I42" i="2" s="1"/>
  <c r="I7" i="1" l="1"/>
  <c r="G22" i="11" s="1"/>
  <c r="H7" i="1"/>
  <c r="F39" i="11" s="1"/>
  <c r="F7" i="1"/>
  <c r="D22" i="11"/>
  <c r="E22" i="11"/>
  <c r="E74" i="11"/>
  <c r="E57" i="11"/>
  <c r="E39" i="11"/>
  <c r="E5" i="11"/>
  <c r="C39" i="11"/>
  <c r="C22" i="11"/>
  <c r="C5" i="11"/>
  <c r="H38" i="3"/>
  <c r="I38" i="3" s="1"/>
  <c r="J38" i="3" s="1"/>
  <c r="F44" i="2"/>
  <c r="E44" i="2"/>
  <c r="G43" i="2"/>
  <c r="H43" i="2" s="1"/>
  <c r="I43" i="2" s="1"/>
  <c r="F57" i="11" l="1"/>
  <c r="G39" i="11"/>
  <c r="F5" i="11"/>
  <c r="F74" i="11"/>
  <c r="G5" i="11"/>
  <c r="F22" i="11"/>
  <c r="G57" i="11"/>
  <c r="G74" i="11"/>
  <c r="D39" i="11"/>
  <c r="D74" i="11"/>
  <c r="D5" i="11"/>
  <c r="H39" i="3"/>
  <c r="H46" i="3" s="1"/>
  <c r="F45" i="2"/>
  <c r="E45" i="2"/>
  <c r="G44" i="2"/>
  <c r="H44" i="2" s="1"/>
  <c r="I44" i="2" s="1"/>
  <c r="I39" i="3" l="1"/>
  <c r="F46" i="2"/>
  <c r="E46" i="2"/>
  <c r="G45" i="2"/>
  <c r="H45" i="2" s="1"/>
  <c r="I45" i="2" s="1"/>
  <c r="J39" i="3" l="1"/>
  <c r="J46" i="3" s="1"/>
  <c r="J47" i="3" s="1"/>
  <c r="J48" i="3" s="1"/>
  <c r="I46" i="3"/>
  <c r="I47" i="3" s="1"/>
  <c r="I48" i="3" s="1"/>
  <c r="F47" i="2"/>
  <c r="E47" i="2"/>
  <c r="G46" i="2"/>
  <c r="H46" i="2" s="1"/>
  <c r="I46" i="2" s="1"/>
  <c r="G6" i="1" l="1"/>
  <c r="H6" i="1"/>
  <c r="F48" i="2"/>
  <c r="E48" i="2"/>
  <c r="G47" i="2"/>
  <c r="H47" i="2" s="1"/>
  <c r="I47" i="2" s="1"/>
  <c r="E56" i="11" l="1"/>
  <c r="E4" i="11"/>
  <c r="E73" i="11"/>
  <c r="E38" i="11"/>
  <c r="E21" i="11"/>
  <c r="F73" i="11"/>
  <c r="F38" i="11"/>
  <c r="F56" i="11"/>
  <c r="F21" i="11"/>
  <c r="F4" i="11"/>
  <c r="F6" i="1"/>
  <c r="E6" i="1"/>
  <c r="I6" i="1"/>
  <c r="F49" i="2"/>
  <c r="E49" i="2"/>
  <c r="G48" i="2"/>
  <c r="H48" i="2" s="1"/>
  <c r="I48" i="2" s="1"/>
  <c r="G4" i="11" l="1"/>
  <c r="G73" i="11"/>
  <c r="G38" i="11"/>
  <c r="G56" i="11"/>
  <c r="G21" i="11"/>
  <c r="D73" i="11"/>
  <c r="D38" i="11"/>
  <c r="D21" i="11"/>
  <c r="D4" i="11"/>
  <c r="F16" i="11"/>
  <c r="F15" i="11" s="1"/>
  <c r="F13" i="11"/>
  <c r="F8" i="11"/>
  <c r="F7" i="11"/>
  <c r="F9" i="11"/>
  <c r="F68" i="11"/>
  <c r="F67" i="11" s="1"/>
  <c r="F61" i="11"/>
  <c r="F59" i="11"/>
  <c r="F65" i="11"/>
  <c r="F60" i="11"/>
  <c r="F55" i="11"/>
  <c r="F85" i="11"/>
  <c r="F84" i="11" s="1"/>
  <c r="F72" i="11"/>
  <c r="F78" i="11"/>
  <c r="F77" i="11"/>
  <c r="F76" i="11"/>
  <c r="F82" i="11"/>
  <c r="E50" i="11"/>
  <c r="E49" i="11" s="1"/>
  <c r="E37" i="11"/>
  <c r="E47" i="11"/>
  <c r="E16" i="11"/>
  <c r="E15" i="11" s="1"/>
  <c r="E3" i="11"/>
  <c r="E7" i="11"/>
  <c r="E9" i="11"/>
  <c r="E8" i="11"/>
  <c r="E13" i="11"/>
  <c r="C38" i="11"/>
  <c r="C21" i="11"/>
  <c r="C4" i="11"/>
  <c r="F3" i="11"/>
  <c r="F11" i="11" s="1"/>
  <c r="F33" i="11"/>
  <c r="F32" i="11" s="1"/>
  <c r="F26" i="11"/>
  <c r="F25" i="11"/>
  <c r="F24" i="11"/>
  <c r="F30" i="11"/>
  <c r="F20" i="11"/>
  <c r="F50" i="11"/>
  <c r="F37" i="11"/>
  <c r="F47" i="11"/>
  <c r="E33" i="11"/>
  <c r="E32" i="11" s="1"/>
  <c r="E30" i="11"/>
  <c r="E20" i="11"/>
  <c r="E26" i="11"/>
  <c r="E24" i="11"/>
  <c r="E25" i="11"/>
  <c r="E72" i="11"/>
  <c r="E78" i="11"/>
  <c r="E77" i="11"/>
  <c r="E76" i="11"/>
  <c r="E82" i="11"/>
  <c r="E85" i="11"/>
  <c r="E84" i="11" s="1"/>
  <c r="E55" i="11"/>
  <c r="E61" i="11"/>
  <c r="E59" i="11"/>
  <c r="E65" i="11"/>
  <c r="E68" i="11"/>
  <c r="E67" i="11" s="1"/>
  <c r="E60" i="11"/>
  <c r="F49" i="11"/>
  <c r="G3" i="11"/>
  <c r="F50" i="2"/>
  <c r="E50" i="2"/>
  <c r="G49" i="2"/>
  <c r="H49" i="2" s="1"/>
  <c r="I49" i="2" s="1"/>
  <c r="F12" i="11" l="1"/>
  <c r="F6" i="11"/>
  <c r="F14" i="11"/>
  <c r="F10" i="11" s="1"/>
  <c r="E58" i="11"/>
  <c r="E23" i="11"/>
  <c r="F75" i="11"/>
  <c r="E75" i="11"/>
  <c r="F31" i="11"/>
  <c r="F29" i="11"/>
  <c r="F28" i="11"/>
  <c r="F23" i="11"/>
  <c r="C30" i="11"/>
  <c r="C24" i="11"/>
  <c r="C26" i="11"/>
  <c r="C33" i="11"/>
  <c r="C32" i="11" s="1"/>
  <c r="C25" i="11"/>
  <c r="C20" i="11"/>
  <c r="E14" i="11"/>
  <c r="E12" i="11"/>
  <c r="E11" i="11"/>
  <c r="F80" i="11"/>
  <c r="F83" i="11"/>
  <c r="F81" i="11"/>
  <c r="F63" i="11"/>
  <c r="F66" i="11"/>
  <c r="F64" i="11"/>
  <c r="D33" i="11"/>
  <c r="D32" i="11" s="1"/>
  <c r="D25" i="11"/>
  <c r="D20" i="11"/>
  <c r="D26" i="11"/>
  <c r="D24" i="11"/>
  <c r="D30" i="11"/>
  <c r="D85" i="11"/>
  <c r="D84" i="11" s="1"/>
  <c r="D72" i="11"/>
  <c r="D78" i="11"/>
  <c r="D76" i="11"/>
  <c r="D82" i="11"/>
  <c r="D77" i="11"/>
  <c r="G68" i="11"/>
  <c r="G67" i="11" s="1"/>
  <c r="G60" i="11"/>
  <c r="G65" i="11"/>
  <c r="G59" i="11"/>
  <c r="G61" i="11"/>
  <c r="G55" i="11"/>
  <c r="G72" i="11"/>
  <c r="G78" i="11"/>
  <c r="G77" i="11"/>
  <c r="G76" i="11"/>
  <c r="G82" i="11"/>
  <c r="G85" i="11"/>
  <c r="G84" i="11" s="1"/>
  <c r="E63" i="11"/>
  <c r="E66" i="11"/>
  <c r="E64" i="11"/>
  <c r="E80" i="11"/>
  <c r="E83" i="11"/>
  <c r="E81" i="11"/>
  <c r="E31" i="11"/>
  <c r="E29" i="11"/>
  <c r="E28" i="11"/>
  <c r="C13" i="11"/>
  <c r="C9" i="11"/>
  <c r="C7" i="11"/>
  <c r="C16" i="11"/>
  <c r="C15" i="11" s="1"/>
  <c r="C8" i="11"/>
  <c r="C3" i="11"/>
  <c r="C50" i="11"/>
  <c r="C49" i="11" s="1"/>
  <c r="C37" i="11"/>
  <c r="C47" i="11"/>
  <c r="E6" i="11"/>
  <c r="F58" i="11"/>
  <c r="D8" i="11"/>
  <c r="D16" i="11"/>
  <c r="D15" i="11" s="1"/>
  <c r="D7" i="11"/>
  <c r="D13" i="11"/>
  <c r="D3" i="11"/>
  <c r="D9" i="11"/>
  <c r="D50" i="11"/>
  <c r="D49" i="11" s="1"/>
  <c r="D37" i="11"/>
  <c r="D47" i="11"/>
  <c r="G33" i="11"/>
  <c r="G32" i="11" s="1"/>
  <c r="G26" i="11"/>
  <c r="G25" i="11"/>
  <c r="G24" i="11"/>
  <c r="G20" i="11"/>
  <c r="G30" i="11"/>
  <c r="G50" i="11"/>
  <c r="G49" i="11" s="1"/>
  <c r="G47" i="11"/>
  <c r="G37" i="11"/>
  <c r="G13" i="11"/>
  <c r="G16" i="11"/>
  <c r="G15" i="11" s="1"/>
  <c r="G8" i="11"/>
  <c r="G7" i="11"/>
  <c r="G9" i="11"/>
  <c r="G11" i="11"/>
  <c r="G12" i="11"/>
  <c r="G14" i="11"/>
  <c r="F51" i="2"/>
  <c r="E51" i="2"/>
  <c r="G50" i="2"/>
  <c r="H50" i="2" s="1"/>
  <c r="I50" i="2" s="1"/>
  <c r="F17" i="11" l="1"/>
  <c r="D23" i="11"/>
  <c r="F62" i="11"/>
  <c r="F79" i="11"/>
  <c r="F86" i="11" s="1"/>
  <c r="C23" i="11"/>
  <c r="F27" i="11"/>
  <c r="F34" i="11" s="1"/>
  <c r="F69" i="11"/>
  <c r="G32" i="9" s="1"/>
  <c r="G30" i="9" s="1"/>
  <c r="D6" i="11"/>
  <c r="G29" i="11"/>
  <c r="G28" i="11"/>
  <c r="G31" i="11"/>
  <c r="D14" i="11"/>
  <c r="D12" i="11"/>
  <c r="D11" i="11"/>
  <c r="C6" i="11"/>
  <c r="E27" i="11"/>
  <c r="E34" i="11" s="1"/>
  <c r="G81" i="11"/>
  <c r="G80" i="11"/>
  <c r="G83" i="11"/>
  <c r="D31" i="11"/>
  <c r="D29" i="11"/>
  <c r="D28" i="11"/>
  <c r="C31" i="11"/>
  <c r="C29" i="11"/>
  <c r="C28" i="11"/>
  <c r="G6" i="11"/>
  <c r="G23" i="11"/>
  <c r="C11" i="11"/>
  <c r="C12" i="11"/>
  <c r="C14" i="11"/>
  <c r="E79" i="11"/>
  <c r="E86" i="11" s="1"/>
  <c r="E62" i="11"/>
  <c r="E69" i="11" s="1"/>
  <c r="F32" i="9" s="1"/>
  <c r="F30" i="9" s="1"/>
  <c r="G75" i="11"/>
  <c r="G64" i="11"/>
  <c r="G63" i="11"/>
  <c r="G66" i="11"/>
  <c r="G58" i="11"/>
  <c r="D75" i="11"/>
  <c r="D80" i="11"/>
  <c r="D83" i="11"/>
  <c r="D81" i="11"/>
  <c r="E10" i="11"/>
  <c r="E17" i="11" s="1"/>
  <c r="G10" i="11"/>
  <c r="F52" i="2"/>
  <c r="E52" i="2"/>
  <c r="F53" i="2" s="1"/>
  <c r="G51" i="2"/>
  <c r="H51" i="2" s="1"/>
  <c r="I51" i="2" s="1"/>
  <c r="F4" i="1" l="1"/>
  <c r="H4" i="1"/>
  <c r="D4" i="1"/>
  <c r="E4" i="1"/>
  <c r="G4" i="1"/>
  <c r="I4" i="1"/>
  <c r="G27" i="11"/>
  <c r="G34" i="11" s="1"/>
  <c r="D79" i="11"/>
  <c r="D86" i="11" s="1"/>
  <c r="G62" i="11"/>
  <c r="G69" i="11" s="1"/>
  <c r="H32" i="9" s="1"/>
  <c r="H30" i="9" s="1"/>
  <c r="G17" i="11"/>
  <c r="D27" i="11"/>
  <c r="D34" i="11" s="1"/>
  <c r="G79" i="11"/>
  <c r="G86" i="11" s="1"/>
  <c r="D10" i="11"/>
  <c r="D17" i="11" s="1"/>
  <c r="E31" i="9" s="1"/>
  <c r="E30" i="9" s="1"/>
  <c r="C10" i="11"/>
  <c r="C17" i="11" s="1"/>
  <c r="D31" i="9" s="1"/>
  <c r="C27" i="11"/>
  <c r="C34" i="11" s="1"/>
  <c r="G52" i="2"/>
  <c r="D36" i="9" l="1"/>
  <c r="E36" i="9" s="1"/>
  <c r="F36" i="9" s="1"/>
  <c r="G36" i="9" s="1"/>
  <c r="H36" i="9" s="1"/>
  <c r="E35" i="8"/>
  <c r="E39" i="8"/>
  <c r="E34" i="8"/>
  <c r="D46" i="9"/>
  <c r="E46" i="9" s="1"/>
  <c r="F46" i="9" s="1"/>
  <c r="G46" i="9" s="1"/>
  <c r="H46" i="9" s="1"/>
  <c r="D25" i="9"/>
  <c r="E43" i="8"/>
  <c r="E36" i="8"/>
  <c r="E40" i="8"/>
  <c r="D26" i="9"/>
  <c r="E26" i="9" s="1"/>
  <c r="F26" i="9" s="1"/>
  <c r="G26" i="9" s="1"/>
  <c r="H26" i="9" s="1"/>
  <c r="E44" i="8"/>
  <c r="E37" i="8"/>
  <c r="E42" i="8"/>
  <c r="D37" i="9"/>
  <c r="E37" i="9" s="1"/>
  <c r="F37" i="9" s="1"/>
  <c r="G37" i="9" s="1"/>
  <c r="H37" i="9" s="1"/>
  <c r="D27" i="9"/>
  <c r="E27" i="9" s="1"/>
  <c r="F27" i="9" s="1"/>
  <c r="G27" i="9" s="1"/>
  <c r="H27" i="9" s="1"/>
  <c r="E45" i="8"/>
  <c r="E38" i="8"/>
  <c r="E47" i="8"/>
  <c r="D28" i="9"/>
  <c r="E28" i="9" s="1"/>
  <c r="F28" i="9" s="1"/>
  <c r="G28" i="9" s="1"/>
  <c r="H28" i="9" s="1"/>
  <c r="D29" i="9"/>
  <c r="E29" i="9" s="1"/>
  <c r="F29" i="9" s="1"/>
  <c r="G29" i="9" s="1"/>
  <c r="H29" i="9" s="1"/>
  <c r="D47" i="9"/>
  <c r="E47" i="9" s="1"/>
  <c r="F47" i="9" s="1"/>
  <c r="G47" i="9" s="1"/>
  <c r="H47" i="9" s="1"/>
  <c r="D48" i="9"/>
  <c r="E48" i="9" s="1"/>
  <c r="F48" i="9" s="1"/>
  <c r="G48" i="9" s="1"/>
  <c r="H48" i="9" s="1"/>
  <c r="D30" i="9"/>
  <c r="H52" i="2"/>
  <c r="G55" i="2"/>
  <c r="F11" i="8" l="1"/>
  <c r="G38" i="8"/>
  <c r="Q7" i="5"/>
  <c r="C51" i="11" s="1"/>
  <c r="M8" i="5"/>
  <c r="M9" i="5" s="1"/>
  <c r="M11" i="5" s="1"/>
  <c r="M12" i="5" s="1"/>
  <c r="L6" i="12" s="1"/>
  <c r="I8" i="5"/>
  <c r="I9" i="5" s="1"/>
  <c r="I11" i="5" s="1"/>
  <c r="I12" i="5" s="1"/>
  <c r="H6" i="12" s="1"/>
  <c r="E8" i="5"/>
  <c r="H7" i="5"/>
  <c r="L7" i="5"/>
  <c r="P7" i="5"/>
  <c r="N7" i="5"/>
  <c r="N8" i="5"/>
  <c r="N9" i="5" s="1"/>
  <c r="N11" i="5" s="1"/>
  <c r="N12" i="5" s="1"/>
  <c r="M6" i="12" s="1"/>
  <c r="J8" i="5"/>
  <c r="J9" i="5" s="1"/>
  <c r="J11" i="5" s="1"/>
  <c r="J12" i="5" s="1"/>
  <c r="I6" i="12" s="1"/>
  <c r="F8" i="5"/>
  <c r="F9" i="5" s="1"/>
  <c r="F11" i="5" s="1"/>
  <c r="F12" i="5" s="1"/>
  <c r="E6" i="12" s="1"/>
  <c r="G7" i="5"/>
  <c r="M7" i="5"/>
  <c r="O8" i="5"/>
  <c r="O9" i="5" s="1"/>
  <c r="O11" i="5" s="1"/>
  <c r="O12" i="5" s="1"/>
  <c r="N6" i="12" s="1"/>
  <c r="K8" i="5"/>
  <c r="K9" i="5" s="1"/>
  <c r="K11" i="5" s="1"/>
  <c r="K12" i="5" s="1"/>
  <c r="J6" i="12" s="1"/>
  <c r="G8" i="5"/>
  <c r="G9" i="5" s="1"/>
  <c r="G11" i="5" s="1"/>
  <c r="G12" i="5" s="1"/>
  <c r="F6" i="12" s="1"/>
  <c r="F7" i="5"/>
  <c r="J7" i="5"/>
  <c r="O7" i="5"/>
  <c r="K7" i="5"/>
  <c r="P8" i="5"/>
  <c r="P9" i="5" s="1"/>
  <c r="P11" i="5" s="1"/>
  <c r="P12" i="5" s="1"/>
  <c r="O6" i="12" s="1"/>
  <c r="L8" i="5"/>
  <c r="L9" i="5" s="1"/>
  <c r="L11" i="5" s="1"/>
  <c r="L12" i="5" s="1"/>
  <c r="K6" i="12" s="1"/>
  <c r="H8" i="5"/>
  <c r="H9" i="5" s="1"/>
  <c r="H11" i="5" s="1"/>
  <c r="H12" i="5" s="1"/>
  <c r="G6" i="12" s="1"/>
  <c r="E7" i="5"/>
  <c r="I7" i="5"/>
  <c r="F20" i="1"/>
  <c r="E21" i="1"/>
  <c r="G37" i="8"/>
  <c r="F10" i="8"/>
  <c r="G36" i="8"/>
  <c r="F9" i="8"/>
  <c r="E25" i="9"/>
  <c r="D24" i="9"/>
  <c r="G34" i="8"/>
  <c r="F7" i="8"/>
  <c r="F8" i="8"/>
  <c r="G35" i="8"/>
  <c r="F20" i="8"/>
  <c r="F19" i="8" s="1"/>
  <c r="G47" i="8"/>
  <c r="F18" i="8"/>
  <c r="G45" i="8"/>
  <c r="G42" i="8"/>
  <c r="F15" i="8"/>
  <c r="G44" i="8"/>
  <c r="F17" i="8"/>
  <c r="G40" i="8"/>
  <c r="F13" i="8"/>
  <c r="G43" i="8"/>
  <c r="F16" i="8"/>
  <c r="G39" i="8"/>
  <c r="F12" i="8"/>
  <c r="I52" i="2"/>
  <c r="I55" i="2" s="1"/>
  <c r="I56" i="2" s="1"/>
  <c r="I57" i="2" s="1"/>
  <c r="H55" i="2"/>
  <c r="H56" i="2" s="1"/>
  <c r="H57" i="2" s="1"/>
  <c r="F14" i="8" l="1"/>
  <c r="G18" i="8"/>
  <c r="I45" i="8"/>
  <c r="G20" i="8"/>
  <c r="G19" i="8" s="1"/>
  <c r="I47" i="8"/>
  <c r="G7" i="8"/>
  <c r="I34" i="8"/>
  <c r="F25" i="9"/>
  <c r="E24" i="9"/>
  <c r="G9" i="8"/>
  <c r="I36" i="8"/>
  <c r="G10" i="8"/>
  <c r="I37" i="8"/>
  <c r="R8" i="5"/>
  <c r="G20" i="1"/>
  <c r="R7" i="5"/>
  <c r="D51" i="11" s="1"/>
  <c r="F21" i="1"/>
  <c r="E9" i="5"/>
  <c r="Q8" i="5"/>
  <c r="D15" i="15" s="1"/>
  <c r="G11" i="8"/>
  <c r="I38" i="8"/>
  <c r="G12" i="8"/>
  <c r="I39" i="8"/>
  <c r="G16" i="8"/>
  <c r="I43" i="8"/>
  <c r="G13" i="8"/>
  <c r="I40" i="8"/>
  <c r="G17" i="8"/>
  <c r="I44" i="8"/>
  <c r="G15" i="8"/>
  <c r="G14" i="8" s="1"/>
  <c r="I42" i="8"/>
  <c r="G8" i="8"/>
  <c r="I35" i="8"/>
  <c r="F6" i="8"/>
  <c r="D25" i="8" s="1"/>
  <c r="C43" i="11"/>
  <c r="C41" i="11"/>
  <c r="C42" i="11"/>
  <c r="C46" i="11"/>
  <c r="C45" i="11"/>
  <c r="C48" i="11"/>
  <c r="C40" i="11" l="1"/>
  <c r="E26" i="8"/>
  <c r="E11" i="5"/>
  <c r="Q11" i="5" s="1"/>
  <c r="D7" i="17" s="1"/>
  <c r="Q9" i="5"/>
  <c r="E12" i="5"/>
  <c r="D6" i="12" s="1"/>
  <c r="D42" i="11"/>
  <c r="D41" i="11"/>
  <c r="D43" i="11"/>
  <c r="D45" i="11"/>
  <c r="D46" i="11"/>
  <c r="D48" i="11"/>
  <c r="R9" i="5"/>
  <c r="E15" i="15"/>
  <c r="G25" i="9"/>
  <c r="F24" i="9"/>
  <c r="G6" i="8"/>
  <c r="E25" i="8" s="1"/>
  <c r="C44" i="11"/>
  <c r="C52" i="11" s="1"/>
  <c r="D45" i="9" s="1"/>
  <c r="K35" i="8"/>
  <c r="H8" i="8"/>
  <c r="K42" i="8"/>
  <c r="H15" i="8"/>
  <c r="K44" i="8"/>
  <c r="H17" i="8"/>
  <c r="K40" i="8"/>
  <c r="H13" i="8"/>
  <c r="K43" i="8"/>
  <c r="H16" i="8"/>
  <c r="K39" i="8"/>
  <c r="H12" i="8"/>
  <c r="K38" i="8"/>
  <c r="H11" i="8"/>
  <c r="S8" i="5"/>
  <c r="H20" i="1"/>
  <c r="S7" i="5"/>
  <c r="E51" i="11" s="1"/>
  <c r="G21" i="1"/>
  <c r="K37" i="8"/>
  <c r="H10" i="8"/>
  <c r="K36" i="8"/>
  <c r="H9" i="8"/>
  <c r="K34" i="8"/>
  <c r="H7" i="8"/>
  <c r="K47" i="8"/>
  <c r="H20" i="8"/>
  <c r="H19" i="8" s="1"/>
  <c r="K45" i="8"/>
  <c r="H18" i="8"/>
  <c r="F21" i="8"/>
  <c r="D26" i="8"/>
  <c r="E28" i="8" s="1"/>
  <c r="E5" i="18" l="1"/>
  <c r="F28" i="8"/>
  <c r="E49" i="9"/>
  <c r="H6" i="8"/>
  <c r="F25" i="8" s="1"/>
  <c r="M36" i="8"/>
  <c r="J9" i="8" s="1"/>
  <c r="I9" i="8"/>
  <c r="M37" i="8"/>
  <c r="J10" i="8" s="1"/>
  <c r="I10" i="8"/>
  <c r="E43" i="11"/>
  <c r="E42" i="11"/>
  <c r="E41" i="11"/>
  <c r="E46" i="11"/>
  <c r="E45" i="11"/>
  <c r="E48" i="11"/>
  <c r="F15" i="15"/>
  <c r="S9" i="5"/>
  <c r="M38" i="8"/>
  <c r="J11" i="8" s="1"/>
  <c r="I11" i="8"/>
  <c r="M39" i="8"/>
  <c r="J12" i="8" s="1"/>
  <c r="I12" i="8"/>
  <c r="M43" i="8"/>
  <c r="J16" i="8" s="1"/>
  <c r="I16" i="8"/>
  <c r="M40" i="8"/>
  <c r="J13" i="8" s="1"/>
  <c r="I13" i="8"/>
  <c r="M44" i="8"/>
  <c r="J17" i="8" s="1"/>
  <c r="I17" i="8"/>
  <c r="M42" i="8"/>
  <c r="J15" i="8" s="1"/>
  <c r="I15" i="8"/>
  <c r="M35" i="8"/>
  <c r="J8" i="8" s="1"/>
  <c r="I8" i="8"/>
  <c r="H25" i="9"/>
  <c r="H24" i="9" s="1"/>
  <c r="G24" i="9"/>
  <c r="E34" i="9"/>
  <c r="E35" i="9" s="1"/>
  <c r="E33" i="9" s="1"/>
  <c r="E42" i="9"/>
  <c r="E43" i="9"/>
  <c r="D4" i="16"/>
  <c r="R11" i="5"/>
  <c r="D50" i="17" s="1"/>
  <c r="D34" i="9"/>
  <c r="C4" i="16"/>
  <c r="D43" i="9"/>
  <c r="D42" i="9"/>
  <c r="D8" i="15" s="1"/>
  <c r="G21" i="8"/>
  <c r="Q8" i="12" s="1"/>
  <c r="D29" i="8"/>
  <c r="P8" i="12"/>
  <c r="M45" i="8"/>
  <c r="J18" i="8" s="1"/>
  <c r="I18" i="8"/>
  <c r="M47" i="8"/>
  <c r="J20" i="8" s="1"/>
  <c r="J19" i="8" s="1"/>
  <c r="H27" i="8" s="1"/>
  <c r="I20" i="8"/>
  <c r="I19" i="8" s="1"/>
  <c r="M34" i="8"/>
  <c r="J7" i="8" s="1"/>
  <c r="I7" i="8"/>
  <c r="T8" i="5"/>
  <c r="I20" i="1"/>
  <c r="T7" i="5"/>
  <c r="F51" i="11" s="1"/>
  <c r="H21" i="1"/>
  <c r="H14" i="8"/>
  <c r="H21" i="8" s="1"/>
  <c r="R8" i="12" s="1"/>
  <c r="D44" i="11"/>
  <c r="D40" i="11"/>
  <c r="P6" i="12"/>
  <c r="P4" i="12" s="1"/>
  <c r="D4" i="12"/>
  <c r="C12" i="14"/>
  <c r="J6" i="8" l="1"/>
  <c r="H25" i="8" s="1"/>
  <c r="I6" i="8"/>
  <c r="G25" i="8" s="1"/>
  <c r="D50" i="9"/>
  <c r="D10" i="12" s="1"/>
  <c r="Q6" i="12"/>
  <c r="E8" i="15"/>
  <c r="D52" i="11"/>
  <c r="E45" i="9" s="1"/>
  <c r="E50" i="9" s="1"/>
  <c r="D4" i="15"/>
  <c r="U7" i="5"/>
  <c r="G51" i="11" s="1"/>
  <c r="U8" i="5"/>
  <c r="I21" i="1"/>
  <c r="C19" i="16"/>
  <c r="D28" i="16"/>
  <c r="D19" i="16"/>
  <c r="I14" i="8"/>
  <c r="E4" i="16"/>
  <c r="F43" i="9"/>
  <c r="F42" i="9"/>
  <c r="F34" i="9"/>
  <c r="F35" i="9" s="1"/>
  <c r="F33" i="9" s="1"/>
  <c r="S11" i="5"/>
  <c r="E50" i="17" s="1"/>
  <c r="F49" i="9"/>
  <c r="F5" i="18"/>
  <c r="G28" i="8"/>
  <c r="F41" i="11"/>
  <c r="F43" i="11"/>
  <c r="F42" i="11"/>
  <c r="F46" i="11"/>
  <c r="F45" i="11"/>
  <c r="F48" i="11"/>
  <c r="G15" i="15"/>
  <c r="T9" i="5"/>
  <c r="D9" i="17"/>
  <c r="E29" i="8"/>
  <c r="D35" i="9"/>
  <c r="D33" i="9" s="1"/>
  <c r="E16" i="17"/>
  <c r="E7" i="15"/>
  <c r="R14" i="12"/>
  <c r="E38" i="9"/>
  <c r="J14" i="8"/>
  <c r="E44" i="11"/>
  <c r="E40" i="11"/>
  <c r="D13" i="14"/>
  <c r="D71" i="14"/>
  <c r="D67" i="14"/>
  <c r="D63" i="14"/>
  <c r="D59" i="14"/>
  <c r="D55" i="14"/>
  <c r="D51" i="14"/>
  <c r="D47" i="14"/>
  <c r="D43" i="14"/>
  <c r="D39" i="14"/>
  <c r="D35" i="14"/>
  <c r="D31" i="14"/>
  <c r="D27" i="14"/>
  <c r="D23" i="14"/>
  <c r="D19" i="14"/>
  <c r="D15" i="14"/>
  <c r="D70" i="14"/>
  <c r="D66" i="14"/>
  <c r="D62" i="14"/>
  <c r="D58" i="14"/>
  <c r="D54" i="14"/>
  <c r="D50" i="14"/>
  <c r="D46" i="14"/>
  <c r="D42" i="14"/>
  <c r="D38" i="14"/>
  <c r="D34" i="14"/>
  <c r="D30" i="14"/>
  <c r="D26" i="14"/>
  <c r="D22" i="14"/>
  <c r="D18" i="14"/>
  <c r="D14" i="14"/>
  <c r="D69" i="14"/>
  <c r="D65" i="14"/>
  <c r="D61" i="14"/>
  <c r="D57" i="14"/>
  <c r="D53" i="14"/>
  <c r="D49" i="14"/>
  <c r="D45" i="14"/>
  <c r="D41" i="14"/>
  <c r="D37" i="14"/>
  <c r="D33" i="14"/>
  <c r="D29" i="14"/>
  <c r="D25" i="14"/>
  <c r="D21" i="14"/>
  <c r="D17" i="14"/>
  <c r="D12" i="14"/>
  <c r="D68" i="14"/>
  <c r="D64" i="14"/>
  <c r="D60" i="14"/>
  <c r="D56" i="14"/>
  <c r="D52" i="14"/>
  <c r="D48" i="14"/>
  <c r="D44" i="14"/>
  <c r="D40" i="14"/>
  <c r="D36" i="14"/>
  <c r="D32" i="14"/>
  <c r="D28" i="14"/>
  <c r="D24" i="14"/>
  <c r="D20" i="14"/>
  <c r="D16" i="14"/>
  <c r="E12" i="14"/>
  <c r="J21" i="8" l="1"/>
  <c r="T8" i="12" s="1"/>
  <c r="E9" i="15"/>
  <c r="E14" i="15" s="1"/>
  <c r="E16" i="15" s="1"/>
  <c r="C6" i="16"/>
  <c r="C18" i="16" s="1"/>
  <c r="E52" i="11"/>
  <c r="F45" i="9" s="1"/>
  <c r="F50" i="9" s="1"/>
  <c r="E6" i="16" s="1"/>
  <c r="F8" i="15"/>
  <c r="D7" i="15"/>
  <c r="D9" i="15" s="1"/>
  <c r="D14" i="15" s="1"/>
  <c r="D16" i="15" s="1"/>
  <c r="D16" i="17"/>
  <c r="D56" i="17" s="1"/>
  <c r="Q14" i="12"/>
  <c r="D38" i="9"/>
  <c r="D5" i="16"/>
  <c r="E3" i="15"/>
  <c r="Q9" i="12"/>
  <c r="C52" i="17"/>
  <c r="D8" i="17"/>
  <c r="F44" i="11"/>
  <c r="F40" i="11"/>
  <c r="R6" i="12"/>
  <c r="F7" i="15"/>
  <c r="F16" i="17"/>
  <c r="E56" i="17" s="1"/>
  <c r="S14" i="12"/>
  <c r="F38" i="9"/>
  <c r="G26" i="8"/>
  <c r="H28" i="8" s="1"/>
  <c r="I21" i="8"/>
  <c r="S8" i="12" s="1"/>
  <c r="H15" i="15"/>
  <c r="U9" i="5"/>
  <c r="R10" i="12"/>
  <c r="E9" i="17"/>
  <c r="F29" i="8"/>
  <c r="T11" i="5"/>
  <c r="F50" i="17" s="1"/>
  <c r="G34" i="9"/>
  <c r="G35" i="9" s="1"/>
  <c r="G33" i="9" s="1"/>
  <c r="G42" i="9"/>
  <c r="G43" i="9"/>
  <c r="F4" i="16"/>
  <c r="G49" i="9"/>
  <c r="G5" i="18"/>
  <c r="E28" i="16"/>
  <c r="E21" i="16"/>
  <c r="E19" i="16"/>
  <c r="G42" i="11"/>
  <c r="G41" i="11"/>
  <c r="G43" i="11"/>
  <c r="G45" i="11"/>
  <c r="G48" i="11"/>
  <c r="G46" i="11"/>
  <c r="E10" i="12"/>
  <c r="F10" i="12" s="1"/>
  <c r="G10" i="12" s="1"/>
  <c r="H10" i="12" s="1"/>
  <c r="I10" i="12" s="1"/>
  <c r="J10" i="12" s="1"/>
  <c r="K10" i="12" s="1"/>
  <c r="L10" i="12" s="1"/>
  <c r="M10" i="12" s="1"/>
  <c r="N10" i="12" s="1"/>
  <c r="O10" i="12" s="1"/>
  <c r="E4" i="15"/>
  <c r="Q10" i="12"/>
  <c r="D6" i="16"/>
  <c r="D3" i="14"/>
  <c r="F3" i="14"/>
  <c r="C3" i="14"/>
  <c r="E3" i="14"/>
  <c r="G3" i="14"/>
  <c r="F12" i="14"/>
  <c r="F4" i="15" l="1"/>
  <c r="F9" i="15"/>
  <c r="F14" i="15" s="1"/>
  <c r="F16" i="15" s="1"/>
  <c r="S6" i="12"/>
  <c r="F52" i="11"/>
  <c r="G45" i="9" s="1"/>
  <c r="G50" i="9" s="1"/>
  <c r="T14" i="12"/>
  <c r="G16" i="17"/>
  <c r="F56" i="17" s="1"/>
  <c r="G7" i="15"/>
  <c r="G38" i="9"/>
  <c r="F9" i="17"/>
  <c r="G29" i="8"/>
  <c r="E18" i="16"/>
  <c r="E30" i="16"/>
  <c r="U11" i="5"/>
  <c r="G50" i="17" s="1"/>
  <c r="H42" i="9"/>
  <c r="H34" i="9"/>
  <c r="H35" i="9" s="1"/>
  <c r="H33" i="9" s="1"/>
  <c r="G4" i="16"/>
  <c r="H43" i="9"/>
  <c r="R9" i="12"/>
  <c r="F3" i="15"/>
  <c r="E5" i="16"/>
  <c r="E6" i="15"/>
  <c r="D3" i="15"/>
  <c r="D6" i="15" s="1"/>
  <c r="C5" i="16"/>
  <c r="D29" i="16" s="1"/>
  <c r="D9" i="12"/>
  <c r="D18" i="16"/>
  <c r="D30" i="16"/>
  <c r="P10" i="12"/>
  <c r="G44" i="11"/>
  <c r="G40" i="11"/>
  <c r="H49" i="9"/>
  <c r="H5" i="18"/>
  <c r="F28" i="16"/>
  <c r="F19" i="16"/>
  <c r="F21" i="16"/>
  <c r="G8" i="15"/>
  <c r="E8" i="17"/>
  <c r="D52" i="17"/>
  <c r="F6" i="15"/>
  <c r="D17" i="16"/>
  <c r="D8" i="16"/>
  <c r="G12" i="14"/>
  <c r="G52" i="11" l="1"/>
  <c r="H45" i="9" s="1"/>
  <c r="T6" i="12"/>
  <c r="E9" i="12"/>
  <c r="D7" i="12"/>
  <c r="D16" i="12" s="1"/>
  <c r="D19" i="15"/>
  <c r="D17" i="15"/>
  <c r="D18" i="15" s="1"/>
  <c r="D10" i="15"/>
  <c r="D13" i="15" s="1"/>
  <c r="G4" i="15"/>
  <c r="S10" i="12"/>
  <c r="F6" i="16"/>
  <c r="G28" i="16"/>
  <c r="G21" i="16"/>
  <c r="G19" i="16"/>
  <c r="H8" i="15"/>
  <c r="H50" i="9"/>
  <c r="G9" i="17"/>
  <c r="H29" i="8"/>
  <c r="H9" i="17" s="1"/>
  <c r="S9" i="12"/>
  <c r="F5" i="16"/>
  <c r="G3" i="15"/>
  <c r="D20" i="16"/>
  <c r="M19" i="17"/>
  <c r="M16" i="17" s="1"/>
  <c r="F19" i="15"/>
  <c r="F10" i="15"/>
  <c r="F13" i="15" s="1"/>
  <c r="F17" i="15"/>
  <c r="F18" i="15" s="1"/>
  <c r="C17" i="16"/>
  <c r="C8" i="16"/>
  <c r="D32" i="16" s="1"/>
  <c r="E19" i="15"/>
  <c r="E17" i="15"/>
  <c r="E18" i="15" s="1"/>
  <c r="E10" i="15"/>
  <c r="E13" i="15" s="1"/>
  <c r="E17" i="16"/>
  <c r="E29" i="16"/>
  <c r="E8" i="16"/>
  <c r="H16" i="17"/>
  <c r="G56" i="17" s="1"/>
  <c r="H7" i="15"/>
  <c r="H38" i="9"/>
  <c r="E52" i="17"/>
  <c r="F8" i="17"/>
  <c r="G9" i="15"/>
  <c r="G14" i="15" s="1"/>
  <c r="G16" i="15" s="1"/>
  <c r="C13" i="14"/>
  <c r="D17" i="17"/>
  <c r="E13" i="14"/>
  <c r="H9" i="15" l="1"/>
  <c r="H14" i="15" s="1"/>
  <c r="H16" i="15" s="1"/>
  <c r="D20" i="12"/>
  <c r="E5" i="12" s="1"/>
  <c r="E4" i="12" s="1"/>
  <c r="E32" i="16"/>
  <c r="E10" i="16"/>
  <c r="N19" i="17"/>
  <c r="E20" i="16"/>
  <c r="F17" i="16"/>
  <c r="F8" i="16"/>
  <c r="G52" i="17"/>
  <c r="H8" i="17"/>
  <c r="H4" i="15"/>
  <c r="T10" i="12"/>
  <c r="G6" i="16"/>
  <c r="F18" i="16"/>
  <c r="F30" i="16"/>
  <c r="T9" i="12"/>
  <c r="H3" i="15"/>
  <c r="H6" i="15" s="1"/>
  <c r="G5" i="16"/>
  <c r="F29" i="16"/>
  <c r="L19" i="17"/>
  <c r="L13" i="17" s="1"/>
  <c r="L14" i="17" s="1"/>
  <c r="C20" i="16"/>
  <c r="G6" i="15"/>
  <c r="F52" i="17"/>
  <c r="G8" i="17"/>
  <c r="S7" i="12"/>
  <c r="F9" i="12"/>
  <c r="E7" i="12"/>
  <c r="D15" i="17"/>
  <c r="F13" i="14"/>
  <c r="E16" i="12" l="1"/>
  <c r="E20" i="12" s="1"/>
  <c r="F5" i="12" s="1"/>
  <c r="F4" i="12" s="1"/>
  <c r="G19" i="15"/>
  <c r="G10" i="15"/>
  <c r="G13" i="15" s="1"/>
  <c r="G29" i="16"/>
  <c r="G17" i="16"/>
  <c r="G8" i="16"/>
  <c r="T7" i="12"/>
  <c r="O19" i="17"/>
  <c r="F20" i="16"/>
  <c r="F10" i="16"/>
  <c r="F32" i="16"/>
  <c r="F34" i="16"/>
  <c r="E11" i="16"/>
  <c r="E23" i="16" s="1"/>
  <c r="E22" i="16"/>
  <c r="E12" i="16"/>
  <c r="F7" i="12"/>
  <c r="G9" i="12"/>
  <c r="H19" i="15"/>
  <c r="H17" i="15"/>
  <c r="H18" i="15" s="1"/>
  <c r="H10" i="15"/>
  <c r="H13" i="15" s="1"/>
  <c r="G17" i="15"/>
  <c r="G18" i="15" s="1"/>
  <c r="G30" i="16"/>
  <c r="G18" i="16"/>
  <c r="G13" i="14"/>
  <c r="E17" i="17" s="1"/>
  <c r="F16" i="12" l="1"/>
  <c r="F20" i="12" s="1"/>
  <c r="G5" i="12" s="1"/>
  <c r="G4" i="12" s="1"/>
  <c r="H9" i="12"/>
  <c r="G7" i="12"/>
  <c r="G16" i="12" s="1"/>
  <c r="G20" i="12" s="1"/>
  <c r="H5" i="12" s="1"/>
  <c r="H4" i="12" s="1"/>
  <c r="R19" i="12"/>
  <c r="F21" i="17"/>
  <c r="N18" i="17"/>
  <c r="E24" i="16"/>
  <c r="F4" i="18"/>
  <c r="F22" i="16"/>
  <c r="F11" i="16"/>
  <c r="F23" i="16" s="1"/>
  <c r="P19" i="17"/>
  <c r="G32" i="16"/>
  <c r="G20" i="16"/>
  <c r="G10" i="16"/>
  <c r="E15" i="17"/>
  <c r="C14" i="14"/>
  <c r="E14" i="14" s="1"/>
  <c r="F12" i="16" l="1"/>
  <c r="O18" i="17" s="1"/>
  <c r="G34" i="16"/>
  <c r="G22" i="16"/>
  <c r="G11" i="16"/>
  <c r="G23" i="16" s="1"/>
  <c r="S19" i="12"/>
  <c r="G21" i="17"/>
  <c r="F24" i="16"/>
  <c r="F61" i="17"/>
  <c r="I9" i="12"/>
  <c r="H7" i="12"/>
  <c r="H16" i="12" s="1"/>
  <c r="H20" i="12" s="1"/>
  <c r="I5" i="12" s="1"/>
  <c r="I4" i="12" s="1"/>
  <c r="F14" i="14"/>
  <c r="F36" i="16" l="1"/>
  <c r="G4" i="18"/>
  <c r="G12" i="16"/>
  <c r="T19" i="12" s="1"/>
  <c r="J9" i="12"/>
  <c r="I7" i="12"/>
  <c r="I16" i="12" s="1"/>
  <c r="I20" i="12" s="1"/>
  <c r="J5" i="12" s="1"/>
  <c r="J4" i="12" s="1"/>
  <c r="H4" i="18"/>
  <c r="G14" i="14"/>
  <c r="G36" i="16" l="1"/>
  <c r="G24" i="16"/>
  <c r="P18" i="17"/>
  <c r="H21" i="17"/>
  <c r="G61" i="17" s="1"/>
  <c r="K9" i="12"/>
  <c r="J7" i="12"/>
  <c r="J16" i="12" s="1"/>
  <c r="J20" i="12" s="1"/>
  <c r="K5" i="12" s="1"/>
  <c r="K4" i="12" s="1"/>
  <c r="C15" i="14"/>
  <c r="F17" i="17"/>
  <c r="E15" i="14"/>
  <c r="K7" i="12" l="1"/>
  <c r="K16" i="12" s="1"/>
  <c r="K20" i="12" s="1"/>
  <c r="L5" i="12" s="1"/>
  <c r="L4" i="12" s="1"/>
  <c r="L9" i="12"/>
  <c r="F15" i="17"/>
  <c r="F15" i="14"/>
  <c r="M9" i="12" l="1"/>
  <c r="L7" i="12"/>
  <c r="L16" i="12" s="1"/>
  <c r="L20" i="12" s="1"/>
  <c r="M5" i="12" s="1"/>
  <c r="M4" i="12" s="1"/>
  <c r="G15" i="14"/>
  <c r="N9" i="12" l="1"/>
  <c r="M7" i="12"/>
  <c r="M16" i="12" s="1"/>
  <c r="M20" i="12" s="1"/>
  <c r="N5" i="12" s="1"/>
  <c r="N4" i="12" s="1"/>
  <c r="C16" i="14"/>
  <c r="G17" i="17"/>
  <c r="E16" i="14"/>
  <c r="F16" i="14" s="1"/>
  <c r="G16" i="14" s="1"/>
  <c r="H17" i="17" s="1"/>
  <c r="N7" i="12" l="1"/>
  <c r="N16" i="12" s="1"/>
  <c r="N20" i="12" s="1"/>
  <c r="O5" i="12" s="1"/>
  <c r="O4" i="12" s="1"/>
  <c r="O9" i="12"/>
  <c r="G15" i="17"/>
  <c r="H15" i="17"/>
  <c r="C17" i="14"/>
  <c r="O7" i="12" l="1"/>
  <c r="O16" i="12" s="1"/>
  <c r="O20" i="12" s="1"/>
  <c r="P9" i="12"/>
  <c r="P7" i="12" s="1"/>
  <c r="P16" i="12" s="1"/>
  <c r="E17" i="14"/>
  <c r="F17" i="14" s="1"/>
  <c r="G17" i="14" l="1"/>
  <c r="C18" i="14" s="1"/>
  <c r="E18" i="14" l="1"/>
  <c r="F18" i="14" s="1"/>
  <c r="G18" i="14" s="1"/>
  <c r="C19" i="14" s="1"/>
  <c r="E19" i="14" l="1"/>
  <c r="F19" i="14" s="1"/>
  <c r="G19" i="14" s="1"/>
  <c r="C20" i="14" s="1"/>
  <c r="E20" i="14" l="1"/>
  <c r="F20" i="14" s="1"/>
  <c r="G20" i="14" l="1"/>
  <c r="C21" i="14" s="1"/>
  <c r="E21" i="14" l="1"/>
  <c r="F21" i="14" s="1"/>
  <c r="G21" i="14" s="1"/>
  <c r="C22" i="14" s="1"/>
  <c r="E22" i="14" l="1"/>
  <c r="F22" i="14" s="1"/>
  <c r="G22" i="14" l="1"/>
  <c r="C23" i="14" s="1"/>
  <c r="E23" i="14" l="1"/>
  <c r="C4" i="14" l="1"/>
  <c r="P12" i="12" s="1"/>
  <c r="F23" i="14"/>
  <c r="C5" i="14" s="1"/>
  <c r="G23" i="14" l="1"/>
  <c r="C24" i="14" s="1"/>
  <c r="E24" i="14" s="1"/>
  <c r="P13" i="12" l="1"/>
  <c r="F24" i="14"/>
  <c r="G24" i="14" l="1"/>
  <c r="C25" i="14" s="1"/>
  <c r="E25" i="14" s="1"/>
  <c r="F25" i="14" l="1"/>
  <c r="G25" i="14" l="1"/>
  <c r="C26" i="14" s="1"/>
  <c r="E26" i="14" s="1"/>
  <c r="F26" i="14" l="1"/>
  <c r="G26" i="14" l="1"/>
  <c r="C27" i="14" s="1"/>
  <c r="E27" i="14" s="1"/>
  <c r="F27" i="14" l="1"/>
  <c r="G27" i="14" l="1"/>
  <c r="C28" i="14" s="1"/>
  <c r="E28" i="14" s="1"/>
  <c r="F28" i="14" l="1"/>
  <c r="G28" i="14" l="1"/>
  <c r="C29" i="14" s="1"/>
  <c r="E29" i="14" s="1"/>
  <c r="F29" i="14" s="1"/>
  <c r="G29" i="14" s="1"/>
  <c r="C30" i="14" s="1"/>
  <c r="E30" i="14" s="1"/>
  <c r="F30" i="14" s="1"/>
  <c r="G30" i="14" s="1"/>
  <c r="C31" i="14" s="1"/>
  <c r="E31" i="14" l="1"/>
  <c r="F31" i="14" s="1"/>
  <c r="G31" i="14" s="1"/>
  <c r="C32" i="14" l="1"/>
  <c r="E32" i="14" l="1"/>
  <c r="F32" i="14" s="1"/>
  <c r="G32" i="14" s="1"/>
  <c r="C33" i="14" s="1"/>
  <c r="E33" i="14" l="1"/>
  <c r="F33" i="14" s="1"/>
  <c r="G33" i="14" s="1"/>
  <c r="C34" i="14" s="1"/>
  <c r="E34" i="14" l="1"/>
  <c r="F34" i="14" s="1"/>
  <c r="G34" i="14" s="1"/>
  <c r="C35" i="14" s="1"/>
  <c r="E35" i="14" l="1"/>
  <c r="F35" i="14" l="1"/>
  <c r="D4" i="14"/>
  <c r="Q12" i="12" s="1"/>
  <c r="C9" i="16" l="1"/>
  <c r="G35" i="14"/>
  <c r="C36" i="14" s="1"/>
  <c r="D5" i="14"/>
  <c r="E36" i="14"/>
  <c r="C21" i="16" l="1"/>
  <c r="C10" i="16"/>
  <c r="Q13" i="12"/>
  <c r="Q7" i="12" s="1"/>
  <c r="F36" i="14"/>
  <c r="G36" i="14" s="1"/>
  <c r="C37" i="14" s="1"/>
  <c r="C22" i="16" l="1"/>
  <c r="C11" i="16"/>
  <c r="C23" i="16" s="1"/>
  <c r="E37" i="14"/>
  <c r="C12" i="16" l="1"/>
  <c r="P19" i="12" s="1"/>
  <c r="P20" i="12" s="1"/>
  <c r="F37" i="14"/>
  <c r="D4" i="18" l="1"/>
  <c r="L18" i="17"/>
  <c r="C24" i="16"/>
  <c r="D21" i="17"/>
  <c r="G37" i="14"/>
  <c r="C38" i="14" s="1"/>
  <c r="E38" i="14" s="1"/>
  <c r="D6" i="17" l="1"/>
  <c r="M15" i="17" s="1"/>
  <c r="N16" i="17" s="1"/>
  <c r="Q5" i="12"/>
  <c r="Q4" i="12" s="1"/>
  <c r="Q16" i="12" s="1"/>
  <c r="D18" i="17"/>
  <c r="L10" i="17" s="1"/>
  <c r="F38" i="14"/>
  <c r="D23" i="17" l="1"/>
  <c r="C49" i="17"/>
  <c r="D5" i="17"/>
  <c r="G38" i="14"/>
  <c r="C39" i="14" s="1"/>
  <c r="E39" i="14" s="1"/>
  <c r="D8" i="18" l="1"/>
  <c r="D9" i="18" s="1"/>
  <c r="D14" i="18" s="1"/>
  <c r="L5" i="17"/>
  <c r="D12" i="17"/>
  <c r="D38" i="17"/>
  <c r="D41" i="17"/>
  <c r="D42" i="17"/>
  <c r="D39" i="17"/>
  <c r="D43" i="17"/>
  <c r="F39" i="14"/>
  <c r="D16" i="18" l="1"/>
  <c r="D17" i="18" s="1"/>
  <c r="M17" i="17"/>
  <c r="L11" i="17"/>
  <c r="M13" i="17"/>
  <c r="L9" i="17"/>
  <c r="D32" i="17"/>
  <c r="D35" i="17"/>
  <c r="D34" i="17"/>
  <c r="D31" i="17"/>
  <c r="G39" i="14"/>
  <c r="C40" i="14" s="1"/>
  <c r="E40" i="14" s="1"/>
  <c r="M14" i="17" l="1"/>
  <c r="F40" i="14"/>
  <c r="G40" i="14" s="1"/>
  <c r="C41" i="14" s="1"/>
  <c r="E41" i="14" s="1"/>
  <c r="F41" i="14" s="1"/>
  <c r="G41" i="14" s="1"/>
  <c r="C42" i="14" s="1"/>
  <c r="E42" i="14" l="1"/>
  <c r="F42" i="14" s="1"/>
  <c r="G42" i="14" s="1"/>
  <c r="C43" i="14" l="1"/>
  <c r="E43" i="14" l="1"/>
  <c r="F43" i="14" s="1"/>
  <c r="G43" i="14" l="1"/>
  <c r="C44" i="14" s="1"/>
  <c r="E44" i="14" l="1"/>
  <c r="F44" i="14" s="1"/>
  <c r="G44" i="14" s="1"/>
  <c r="C45" i="14" s="1"/>
  <c r="E45" i="14" l="1"/>
  <c r="F45" i="14" s="1"/>
  <c r="G45" i="14" s="1"/>
  <c r="C46" i="14" s="1"/>
  <c r="E46" i="14" l="1"/>
  <c r="F46" i="14" s="1"/>
  <c r="G46" i="14" s="1"/>
  <c r="C47" i="14" l="1"/>
  <c r="E47" i="14" l="1"/>
  <c r="F47" i="14" l="1"/>
  <c r="E4" i="14"/>
  <c r="R12" i="12" s="1"/>
  <c r="D9" i="16" l="1"/>
  <c r="G47" i="14"/>
  <c r="C48" i="14" s="1"/>
  <c r="E48" i="14" s="1"/>
  <c r="E5" i="14"/>
  <c r="D21" i="16" l="1"/>
  <c r="D10" i="16"/>
  <c r="R13" i="12"/>
  <c r="R7" i="12" s="1"/>
  <c r="F48" i="14"/>
  <c r="D34" i="16" l="1"/>
  <c r="E34" i="16"/>
  <c r="D22" i="16"/>
  <c r="D11" i="16"/>
  <c r="D23" i="16" s="1"/>
  <c r="G48" i="14"/>
  <c r="C49" i="14" s="1"/>
  <c r="E49" i="14" s="1"/>
  <c r="D12" i="16" l="1"/>
  <c r="Q19" i="12" s="1"/>
  <c r="Q20" i="12" s="1"/>
  <c r="E6" i="17" s="1"/>
  <c r="F49" i="14"/>
  <c r="G49" i="14" s="1"/>
  <c r="C50" i="14" s="1"/>
  <c r="E4" i="18" l="1"/>
  <c r="D36" i="16"/>
  <c r="M18" i="17"/>
  <c r="E36" i="16"/>
  <c r="D24" i="16"/>
  <c r="E21" i="17"/>
  <c r="E50" i="14"/>
  <c r="E61" i="17" l="1"/>
  <c r="D61" i="17"/>
  <c r="E20" i="17"/>
  <c r="F50" i="14"/>
  <c r="E18" i="17" l="1"/>
  <c r="M10" i="17" s="1"/>
  <c r="F20" i="17"/>
  <c r="R5" i="12"/>
  <c r="R4" i="12" s="1"/>
  <c r="R16" i="12" s="1"/>
  <c r="R20" i="12" s="1"/>
  <c r="F6" i="17" s="1"/>
  <c r="N15" i="17"/>
  <c r="O16" i="17" s="1"/>
  <c r="G50" i="14"/>
  <c r="C51" i="14" s="1"/>
  <c r="E51" i="14" s="1"/>
  <c r="D49" i="17" l="1"/>
  <c r="E5" i="17"/>
  <c r="F18" i="17"/>
  <c r="N10" i="17" s="1"/>
  <c r="E60" i="17"/>
  <c r="G20" i="17"/>
  <c r="O15" i="17"/>
  <c r="P16" i="17" s="1"/>
  <c r="S5" i="12"/>
  <c r="S4" i="12" s="1"/>
  <c r="S16" i="12" s="1"/>
  <c r="S20" i="12" s="1"/>
  <c r="G6" i="17" s="1"/>
  <c r="E23" i="17"/>
  <c r="F51" i="14"/>
  <c r="M7" i="17" l="1"/>
  <c r="E8" i="18" s="1"/>
  <c r="E9" i="18" s="1"/>
  <c r="E14" i="18" s="1"/>
  <c r="E16" i="18" s="1"/>
  <c r="E17" i="18" s="1"/>
  <c r="E43" i="17"/>
  <c r="E39" i="17"/>
  <c r="E42" i="17"/>
  <c r="E41" i="17"/>
  <c r="E38" i="17"/>
  <c r="F5" i="17"/>
  <c r="N7" i="17" s="1"/>
  <c r="F8" i="18" s="1"/>
  <c r="F9" i="18" s="1"/>
  <c r="E49" i="17"/>
  <c r="E12" i="17"/>
  <c r="N17" i="17" s="1"/>
  <c r="M5" i="17"/>
  <c r="P15" i="17"/>
  <c r="T5" i="12"/>
  <c r="T4" i="12" s="1"/>
  <c r="T16" i="12" s="1"/>
  <c r="T20" i="12" s="1"/>
  <c r="H6" i="17" s="1"/>
  <c r="F60" i="17"/>
  <c r="G18" i="17"/>
  <c r="O10" i="17" s="1"/>
  <c r="H20" i="17"/>
  <c r="F23" i="17"/>
  <c r="G51" i="14"/>
  <c r="C52" i="14" s="1"/>
  <c r="E52" i="14" s="1"/>
  <c r="G49" i="17" l="1"/>
  <c r="M11" i="17"/>
  <c r="N13" i="17"/>
  <c r="M9" i="17"/>
  <c r="H18" i="17"/>
  <c r="G60" i="17"/>
  <c r="F49" i="17"/>
  <c r="G5" i="17"/>
  <c r="O7" i="17" s="1"/>
  <c r="G8" i="18" s="1"/>
  <c r="G9" i="18" s="1"/>
  <c r="F12" i="17"/>
  <c r="O17" i="17" s="1"/>
  <c r="N5" i="17"/>
  <c r="F42" i="17"/>
  <c r="F43" i="17"/>
  <c r="F39" i="17"/>
  <c r="F41" i="17"/>
  <c r="F38" i="17"/>
  <c r="G23" i="17"/>
  <c r="H5" i="17"/>
  <c r="E34" i="17"/>
  <c r="E32" i="17"/>
  <c r="E35" i="17"/>
  <c r="E31" i="17"/>
  <c r="F52" i="14"/>
  <c r="G52" i="14" s="1"/>
  <c r="C53" i="14" s="1"/>
  <c r="E53" i="14" s="1"/>
  <c r="F53" i="14" s="1"/>
  <c r="G53" i="14" s="1"/>
  <c r="P7" i="17" l="1"/>
  <c r="H8" i="18" s="1"/>
  <c r="H9" i="18" s="1"/>
  <c r="H13" i="18" s="1"/>
  <c r="N14" i="17"/>
  <c r="H23" i="17"/>
  <c r="H42" i="17" s="1"/>
  <c r="P10" i="17"/>
  <c r="N11" i="17"/>
  <c r="O13" i="17"/>
  <c r="N9" i="17"/>
  <c r="F35" i="17"/>
  <c r="F32" i="17"/>
  <c r="F34" i="17"/>
  <c r="F31" i="17"/>
  <c r="P5" i="17"/>
  <c r="H12" i="17"/>
  <c r="G43" i="17"/>
  <c r="G38" i="17"/>
  <c r="G41" i="17"/>
  <c r="G42" i="17"/>
  <c r="G39" i="17"/>
  <c r="G12" i="17"/>
  <c r="P17" i="17" s="1"/>
  <c r="O5" i="17"/>
  <c r="C54" i="14"/>
  <c r="H41" i="17" l="1"/>
  <c r="H43" i="17"/>
  <c r="O14" i="17"/>
  <c r="H39" i="17"/>
  <c r="H38" i="17"/>
  <c r="O11" i="17"/>
  <c r="P13" i="17"/>
  <c r="O9" i="17"/>
  <c r="P11" i="17"/>
  <c r="P9" i="17"/>
  <c r="G32" i="17"/>
  <c r="G35" i="17"/>
  <c r="G34" i="17"/>
  <c r="G31" i="17"/>
  <c r="H31" i="17"/>
  <c r="H32" i="17"/>
  <c r="H35" i="17"/>
  <c r="H34" i="17"/>
  <c r="E54" i="14"/>
  <c r="P14" i="17" l="1"/>
  <c r="F54" i="14"/>
  <c r="G54" i="14" s="1"/>
  <c r="C55" i="14" l="1"/>
  <c r="E55" i="14" l="1"/>
  <c r="F55" i="14" l="1"/>
  <c r="G55" i="14" s="1"/>
  <c r="C56" i="14" l="1"/>
  <c r="E56" i="14" l="1"/>
  <c r="F56" i="14" l="1"/>
  <c r="G56" i="14" s="1"/>
  <c r="C57" i="14" l="1"/>
  <c r="E57" i="14" l="1"/>
  <c r="F57" i="14" l="1"/>
  <c r="G57" i="14" s="1"/>
  <c r="C58" i="14" l="1"/>
  <c r="E58" i="14" l="1"/>
  <c r="F58" i="14" s="1"/>
  <c r="G58" i="14" s="1"/>
  <c r="C59" i="14" l="1"/>
  <c r="E59" i="14" l="1"/>
  <c r="F59" i="14" l="1"/>
  <c r="F5" i="14" s="1"/>
  <c r="F4" i="14"/>
  <c r="G59" i="14"/>
  <c r="C60" i="14" s="1"/>
  <c r="F14" i="18" l="1"/>
  <c r="F16" i="18" s="1"/>
  <c r="F17" i="18" s="1"/>
  <c r="E60" i="14"/>
  <c r="F60" i="14" l="1"/>
  <c r="G60" i="14" l="1"/>
  <c r="C61" i="14" s="1"/>
  <c r="E61" i="14" s="1"/>
  <c r="F61" i="14" l="1"/>
  <c r="G61" i="14" l="1"/>
  <c r="C62" i="14" s="1"/>
  <c r="E62" i="14" s="1"/>
  <c r="F62" i="14" l="1"/>
  <c r="G62" i="14" l="1"/>
  <c r="C63" i="14" s="1"/>
  <c r="E63" i="14" l="1"/>
  <c r="F63" i="14" l="1"/>
  <c r="G63" i="14" l="1"/>
  <c r="C64" i="14" s="1"/>
  <c r="E64" i="14" s="1"/>
  <c r="F64" i="14" l="1"/>
  <c r="G64" i="14" l="1"/>
  <c r="C65" i="14" s="1"/>
  <c r="E65" i="14" l="1"/>
  <c r="F65" i="14" s="1"/>
  <c r="G65" i="14" s="1"/>
  <c r="C66" i="14" s="1"/>
  <c r="E66" i="14" s="1"/>
  <c r="F66" i="14" s="1"/>
  <c r="G66" i="14" s="1"/>
  <c r="C67" i="14" s="1"/>
  <c r="E67" i="14" l="1"/>
  <c r="F67" i="14" s="1"/>
  <c r="G67" i="14" s="1"/>
  <c r="C68" i="14" s="1"/>
  <c r="E68" i="14" s="1"/>
  <c r="F68" i="14" s="1"/>
  <c r="G68" i="14" s="1"/>
  <c r="C69" i="14" s="1"/>
  <c r="E69" i="14" s="1"/>
  <c r="F69" i="14" s="1"/>
  <c r="G69" i="14" s="1"/>
  <c r="C70" i="14" l="1"/>
  <c r="E70" i="14" l="1"/>
  <c r="F70" i="14" s="1"/>
  <c r="G70" i="14" s="1"/>
  <c r="C71" i="14" l="1"/>
  <c r="E71" i="14" l="1"/>
  <c r="G4" i="14" s="1"/>
  <c r="F71" i="14" l="1"/>
  <c r="G71" i="14" l="1"/>
  <c r="G5" i="14"/>
  <c r="G14" i="18" l="1"/>
  <c r="G16" i="18" s="1"/>
  <c r="H14" i="18" l="1"/>
  <c r="C18" i="18" s="1"/>
  <c r="G17" i="18"/>
  <c r="H16" i="18" l="1"/>
  <c r="H17" i="18" s="1"/>
  <c r="C17" i="18" s="1"/>
</calcChain>
</file>

<file path=xl/sharedStrings.xml><?xml version="1.0" encoding="utf-8"?>
<sst xmlns="http://schemas.openxmlformats.org/spreadsheetml/2006/main" count="597" uniqueCount="286">
  <si>
    <t>Variables económicas</t>
  </si>
  <si>
    <t>Pronóstico</t>
  </si>
  <si>
    <t>Error</t>
  </si>
  <si>
    <t>Error Abs.</t>
  </si>
  <si>
    <t>Error cuadr.</t>
  </si>
  <si>
    <t>sumas</t>
  </si>
  <si>
    <t xml:space="preserve">ALPHA = </t>
  </si>
  <si>
    <t>mad o ECM</t>
  </si>
  <si>
    <t>Alpha Min</t>
  </si>
  <si>
    <t>Desv. std. est.</t>
  </si>
  <si>
    <t>Alpha Max</t>
  </si>
  <si>
    <t>Unidad</t>
  </si>
  <si>
    <t>SMLV</t>
  </si>
  <si>
    <t>Auxilio de transporte</t>
  </si>
  <si>
    <t xml:space="preserve">Pensión </t>
  </si>
  <si>
    <t>Salud</t>
  </si>
  <si>
    <t>Cesantias</t>
  </si>
  <si>
    <t xml:space="preserve">Vacaciones </t>
  </si>
  <si>
    <t>Aportes fiscales</t>
  </si>
  <si>
    <t>Intereses cesantias</t>
  </si>
  <si>
    <t>ARL  (riesgo clase I)</t>
  </si>
  <si>
    <t>$/mes</t>
  </si>
  <si>
    <t xml:space="preserve">Prima </t>
  </si>
  <si>
    <t>Precios</t>
  </si>
  <si>
    <t>Mensualidad</t>
  </si>
  <si>
    <t>Impuestos</t>
  </si>
  <si>
    <t>Impuesto a las ventas IVA</t>
  </si>
  <si>
    <t>Impuesto ICA</t>
  </si>
  <si>
    <t xml:space="preserve">Impuesto avisos y tableros </t>
  </si>
  <si>
    <t>Impuesto a la renta</t>
  </si>
  <si>
    <t>x1000</t>
  </si>
  <si>
    <t>Volumen de ventas</t>
  </si>
  <si>
    <t>Muebles y enseres</t>
  </si>
  <si>
    <t>Cantidad</t>
  </si>
  <si>
    <t>Costo total</t>
  </si>
  <si>
    <t>Equipos tecnológicos</t>
  </si>
  <si>
    <t xml:space="preserve">Computador OptiPlex 7470 </t>
  </si>
  <si>
    <t>Computador SFF 3471</t>
  </si>
  <si>
    <t xml:space="preserve">Pantalla </t>
  </si>
  <si>
    <t xml:space="preserve">Kit de prueba / DVR y 4 cámaras </t>
  </si>
  <si>
    <t>Samsung Galaxy Tab</t>
  </si>
  <si>
    <t>Impresora</t>
  </si>
  <si>
    <t>Escritorio de oficina</t>
  </si>
  <si>
    <t>Sillas de oficina</t>
  </si>
  <si>
    <t>Compuador DELL Chromebook</t>
  </si>
  <si>
    <t xml:space="preserve">Bibloteca </t>
  </si>
  <si>
    <t>Mesa para juntas + sillas</t>
  </si>
  <si>
    <t>Transporte</t>
  </si>
  <si>
    <t>Papeleria</t>
  </si>
  <si>
    <t>Incripción Camara y Comercio</t>
  </si>
  <si>
    <t>Certificado SSL</t>
  </si>
  <si>
    <t>Registro de marca ante la SIC</t>
  </si>
  <si>
    <t>Autentificación notarial</t>
  </si>
  <si>
    <t>Inscripción a libros contables</t>
  </si>
  <si>
    <t>Certificado Matricula mercantil</t>
  </si>
  <si>
    <t>Certificado de existencia y repesentación legal</t>
  </si>
  <si>
    <t>Formulario para el registro mercantil</t>
  </si>
  <si>
    <t>Fuerza de ventas</t>
  </si>
  <si>
    <t xml:space="preserve">Alquiler </t>
  </si>
  <si>
    <t>Gastos de publicidad</t>
  </si>
  <si>
    <t>Plan de marketing digital</t>
  </si>
  <si>
    <t xml:space="preserve">Renovación de matricula mercantil </t>
  </si>
  <si>
    <t>Total</t>
  </si>
  <si>
    <t>Tecnomecanico</t>
  </si>
  <si>
    <t>SOAT</t>
  </si>
  <si>
    <t>Gasolina</t>
  </si>
  <si>
    <t>Seguro</t>
  </si>
  <si>
    <t>Vehiculos</t>
  </si>
  <si>
    <t>Motocicleta</t>
  </si>
  <si>
    <t>Licencia de conducción y pase de moto</t>
  </si>
  <si>
    <t>Sueldo personal de instalación</t>
  </si>
  <si>
    <t>Salario anual</t>
  </si>
  <si>
    <t>Director I+D</t>
  </si>
  <si>
    <t>Ventas</t>
  </si>
  <si>
    <t>Comisiones</t>
  </si>
  <si>
    <t>Papelería</t>
  </si>
  <si>
    <t>$/año</t>
  </si>
  <si>
    <t>Honorarios contador</t>
  </si>
  <si>
    <t>$/afiliación</t>
  </si>
  <si>
    <t>Anualidad</t>
  </si>
  <si>
    <t>Incremento volumen de ventas</t>
  </si>
  <si>
    <t xml:space="preserve">Afiliaciones nuevas por año </t>
  </si>
  <si>
    <t>Anticipo retefuente</t>
  </si>
  <si>
    <t>% de retefuente</t>
  </si>
  <si>
    <t xml:space="preserve">Comisión por afiliación </t>
  </si>
  <si>
    <t>ITEM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</si>
  <si>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</si>
  <si>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</si>
  <si>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</si>
  <si>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</si>
  <si>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</si>
  <si>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</si>
  <si>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</si>
  <si>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</si>
  <si>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</si>
  <si>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</si>
  <si>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</si>
  <si>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</si>
  <si>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Caja Inicial</t>
  </si>
  <si>
    <t xml:space="preserve"> </t>
  </si>
  <si>
    <t>Inversiones en activos</t>
  </si>
  <si>
    <t>Egresos por gastos de operación</t>
  </si>
  <si>
    <t>Egresos por gastos de administración y ventas</t>
  </si>
  <si>
    <t>Egresos por gastos preoperativos diferidos</t>
  </si>
  <si>
    <t>Egresos por gastos financieros</t>
  </si>
  <si>
    <t>Egresos impuesto de renta</t>
  </si>
  <si>
    <t>Aporte de Socios</t>
  </si>
  <si>
    <t>Prestamo</t>
  </si>
  <si>
    <t>Distribucion de Excedentes</t>
  </si>
  <si>
    <t>Tecnico en sistemas</t>
  </si>
  <si>
    <t>Gastos de operación</t>
  </si>
  <si>
    <t>Gastos administración y ventas</t>
  </si>
  <si>
    <t>Director operaciones</t>
  </si>
  <si>
    <t>ICA (industria y comercio)</t>
  </si>
  <si>
    <t xml:space="preserve">Complementatio de avisos y tableros </t>
  </si>
  <si>
    <t xml:space="preserve">Depreciación </t>
  </si>
  <si>
    <t>Depreciación</t>
  </si>
  <si>
    <t>Total Cuota fija año</t>
  </si>
  <si>
    <t>Gastos Financieros</t>
  </si>
  <si>
    <t>Abonos a capital</t>
  </si>
  <si>
    <t>Saldo inicial</t>
  </si>
  <si>
    <t>Cuota mensual fija</t>
  </si>
  <si>
    <t>Saldo final</t>
  </si>
  <si>
    <t>Tasa de Interes de Prestamo</t>
  </si>
  <si>
    <t>Plazo del prestamo</t>
  </si>
  <si>
    <t>Mes</t>
  </si>
  <si>
    <t xml:space="preserve">Tasa anual </t>
  </si>
  <si>
    <t>Plazo prestamo</t>
  </si>
  <si>
    <t>Inicio</t>
  </si>
  <si>
    <t>Disponible</t>
  </si>
  <si>
    <t>Egresos</t>
  </si>
  <si>
    <t xml:space="preserve">Aporte de socios </t>
  </si>
  <si>
    <t>Gastos de capacitación</t>
  </si>
  <si>
    <t>Gastos variables</t>
  </si>
  <si>
    <t>Capacitación</t>
  </si>
  <si>
    <t>Publicidad</t>
  </si>
  <si>
    <t>%</t>
  </si>
  <si>
    <t xml:space="preserve">Primera mensualidad </t>
  </si>
  <si>
    <t>Gastos de administración y ventas</t>
  </si>
  <si>
    <t>Gastos preoperativos (Diferidos a 1 año)</t>
  </si>
  <si>
    <t>Costos Variables</t>
  </si>
  <si>
    <t>Numero productos o servicios</t>
  </si>
  <si>
    <t>Margen Unitario Promedio</t>
  </si>
  <si>
    <t>Punto de Equilibrio</t>
  </si>
  <si>
    <t>Cumplimiento del punto de equilibrio</t>
  </si>
  <si>
    <t>Colchon de Efectivo (Regla de caja)</t>
  </si>
  <si>
    <t xml:space="preserve">Precio Unitario </t>
  </si>
  <si>
    <t xml:space="preserve">Costo variable unitario </t>
  </si>
  <si>
    <t>ESTADO DE RESULTADOS</t>
  </si>
  <si>
    <t>Gastos preoperativos (diferidos)</t>
  </si>
  <si>
    <t>Gastos financieros</t>
  </si>
  <si>
    <t xml:space="preserve">Impuesto de renta </t>
  </si>
  <si>
    <t>Activos</t>
  </si>
  <si>
    <t>Depreciación acumulada</t>
  </si>
  <si>
    <t>Proyección tasa de inflación</t>
  </si>
  <si>
    <t>Salario</t>
  </si>
  <si>
    <t>Prestaciones sociales</t>
  </si>
  <si>
    <t>% SMLV</t>
  </si>
  <si>
    <t>%  SMLV</t>
  </si>
  <si>
    <t>% SMLV + auxilio de transporte</t>
  </si>
  <si>
    <t>Excluida</t>
  </si>
  <si>
    <t>% impuesto ICA</t>
  </si>
  <si>
    <t>Excluida por 7 años</t>
  </si>
  <si>
    <t>Retefuente ventas</t>
  </si>
  <si>
    <t xml:space="preserve">% de las ventas </t>
  </si>
  <si>
    <t>meses</t>
  </si>
  <si>
    <t>$</t>
  </si>
  <si>
    <t>Financiación</t>
  </si>
  <si>
    <t>Seguridad social</t>
  </si>
  <si>
    <t xml:space="preserve">Inversiones </t>
  </si>
  <si>
    <t xml:space="preserve">Software </t>
  </si>
  <si>
    <t xml:space="preserve">Costo total </t>
  </si>
  <si>
    <t>Costo ($)</t>
  </si>
  <si>
    <t>Desarrollador de software (horas)</t>
  </si>
  <si>
    <t>Servicio de internet (mes)</t>
  </si>
  <si>
    <t>cantidad</t>
  </si>
  <si>
    <t>costo</t>
  </si>
  <si>
    <t xml:space="preserve">Total Inversión </t>
  </si>
  <si>
    <t>Valor de los activos</t>
  </si>
  <si>
    <t>Compras</t>
  </si>
  <si>
    <t>Variación</t>
  </si>
  <si>
    <t>conjuntos residenciales</t>
  </si>
  <si>
    <t>Total ingresos</t>
  </si>
  <si>
    <t>Ingresos por ventas</t>
  </si>
  <si>
    <t>Accesorios para motocicleta</t>
  </si>
  <si>
    <t>Mantenimiento</t>
  </si>
  <si>
    <t>% ingresos</t>
  </si>
  <si>
    <t>Ingresos después de retefuente</t>
  </si>
  <si>
    <t>Total gastos preoperativos</t>
  </si>
  <si>
    <t>Legal</t>
  </si>
  <si>
    <t>Utencilios</t>
  </si>
  <si>
    <t>Matricula mercantil</t>
  </si>
  <si>
    <t xml:space="preserve">Año </t>
  </si>
  <si>
    <t>Año</t>
  </si>
  <si>
    <t>Gastos de nómina</t>
  </si>
  <si>
    <t>Gastos fijos</t>
  </si>
  <si>
    <t>Bomberos</t>
  </si>
  <si>
    <t>Caja de compensación</t>
  </si>
  <si>
    <t>Salario + Auxilio</t>
  </si>
  <si>
    <t>Asesor comercial</t>
  </si>
  <si>
    <t>Auxiliar admon y contable</t>
  </si>
  <si>
    <t>Total Gastos fijos</t>
  </si>
  <si>
    <t xml:space="preserve">Costo producto servicio </t>
  </si>
  <si>
    <t>Politicas</t>
  </si>
  <si>
    <t>Colchón de efectivo</t>
  </si>
  <si>
    <t>dias</t>
  </si>
  <si>
    <t>Utilidad Neta (Utilidad operativa)</t>
  </si>
  <si>
    <t>Total deterioro</t>
  </si>
  <si>
    <t>Inversiones de socios</t>
  </si>
  <si>
    <t>Préstamo</t>
  </si>
  <si>
    <t>Balance de proyecto</t>
  </si>
  <si>
    <t>Periodo de pago descontado</t>
  </si>
  <si>
    <t>Tasa interna de retorno</t>
  </si>
  <si>
    <t>Valor presente neto</t>
  </si>
  <si>
    <t>Egresos por pagos de capital</t>
  </si>
  <si>
    <t>Egresos por impuestos locales</t>
  </si>
  <si>
    <t>ESTADO DE LA SITUACIÓN FINANCIERA</t>
  </si>
  <si>
    <t>Total activos</t>
  </si>
  <si>
    <t xml:space="preserve">   Activos corrientes</t>
  </si>
  <si>
    <t xml:space="preserve">      Retefuente ventas</t>
  </si>
  <si>
    <t xml:space="preserve">      Activos</t>
  </si>
  <si>
    <t xml:space="preserve">      Gastos diferibles</t>
  </si>
  <si>
    <t xml:space="preserve">   Activos no corrientes</t>
  </si>
  <si>
    <t xml:space="preserve">      Efectivo y equivalente en efectivo</t>
  </si>
  <si>
    <t>Pasivo + Patrimonio</t>
  </si>
  <si>
    <t xml:space="preserve">      Impuestos locales por pagar</t>
  </si>
  <si>
    <t xml:space="preserve">      Obligaciones finacieras</t>
  </si>
  <si>
    <t xml:space="preserve">   Patrimonio</t>
  </si>
  <si>
    <t xml:space="preserve">      Capital</t>
  </si>
  <si>
    <t xml:space="preserve">   Pasivos corrientes</t>
  </si>
  <si>
    <t xml:space="preserve">      Resultado del ejercicio</t>
  </si>
  <si>
    <t xml:space="preserve">      Ganancias acumuladas</t>
  </si>
  <si>
    <t>Total pasivo + patrimonio</t>
  </si>
  <si>
    <t>Distribución de utilidades</t>
  </si>
  <si>
    <t>ANÁLISIS VERTICAL</t>
  </si>
  <si>
    <t xml:space="preserve">ANÁLISIS HORIZONTAL </t>
  </si>
  <si>
    <t>2020-2021</t>
  </si>
  <si>
    <t>2021-2022</t>
  </si>
  <si>
    <t>2022-2023</t>
  </si>
  <si>
    <t>2023-2024</t>
  </si>
  <si>
    <t>2024-2025</t>
  </si>
  <si>
    <t>INDICADORES FINANCIEROS</t>
  </si>
  <si>
    <t>Endeudamiento</t>
  </si>
  <si>
    <t>Liquidez</t>
  </si>
  <si>
    <t xml:space="preserve">   Razón Corriente</t>
  </si>
  <si>
    <t xml:space="preserve">   Capital de trabajo</t>
  </si>
  <si>
    <t xml:space="preserve">   Razón Deuda capital</t>
  </si>
  <si>
    <t xml:space="preserve">   Apalancamiento </t>
  </si>
  <si>
    <t xml:space="preserve">   Endeudamiento</t>
  </si>
  <si>
    <t>Rentabilidad</t>
  </si>
  <si>
    <t xml:space="preserve">   ROA</t>
  </si>
  <si>
    <t xml:space="preserve">   ROE</t>
  </si>
  <si>
    <t xml:space="preserve">   Capital invertido</t>
  </si>
  <si>
    <t xml:space="preserve">   ROIC</t>
  </si>
  <si>
    <t xml:space="preserve">   Rotación de Activos</t>
  </si>
  <si>
    <t>Utilidad operacional (EBIT)</t>
  </si>
  <si>
    <t>Utilidad gravable (EBT)</t>
  </si>
  <si>
    <t>Ventas netas / Ganacia bruta</t>
  </si>
  <si>
    <t>Utilidad neta del periodo</t>
  </si>
  <si>
    <t>ANÁLISIS HORIZONTAL</t>
  </si>
  <si>
    <t xml:space="preserve">   NOPAT</t>
  </si>
  <si>
    <t xml:space="preserve">   Margen neto (y operacional y NOPAT)</t>
  </si>
  <si>
    <t>Cambio en efectivo y equivalentes</t>
  </si>
  <si>
    <t>Tasa mínima de retorno (TMR)</t>
  </si>
  <si>
    <t>FLUJO DE EFECTIVO</t>
  </si>
  <si>
    <t>TOTAL</t>
  </si>
  <si>
    <t>Financiamiento</t>
  </si>
  <si>
    <t>Número</t>
  </si>
  <si>
    <r>
      <t>S</t>
    </r>
    <r>
      <rPr>
        <b/>
        <i/>
        <vertAlign val="subscript"/>
        <sz val="10"/>
        <color theme="0"/>
        <rFont val="Arial"/>
        <family val="2"/>
      </rPr>
      <t>T</t>
    </r>
  </si>
  <si>
    <r>
      <t>S</t>
    </r>
    <r>
      <rPr>
        <b/>
        <i/>
        <vertAlign val="subscript"/>
        <sz val="10"/>
        <color theme="0"/>
        <rFont val="Arial"/>
        <family val="2"/>
      </rPr>
      <t>T</t>
    </r>
    <r>
      <rPr>
        <b/>
        <i/>
        <vertAlign val="superscript"/>
        <sz val="10"/>
        <color theme="0"/>
        <rFont val="Arial"/>
        <family val="2"/>
      </rPr>
      <t>2</t>
    </r>
  </si>
  <si>
    <r>
      <t>Pendiente b</t>
    </r>
    <r>
      <rPr>
        <b/>
        <vertAlign val="subscript"/>
        <sz val="10"/>
        <color theme="0"/>
        <rFont val="Arial"/>
        <family val="2"/>
      </rPr>
      <t>2</t>
    </r>
  </si>
  <si>
    <r>
      <t>Constante a</t>
    </r>
    <r>
      <rPr>
        <b/>
        <vertAlign val="subscript"/>
        <sz val="10"/>
        <color theme="0"/>
        <rFont val="Arial"/>
        <family val="2"/>
      </rPr>
      <t>1</t>
    </r>
  </si>
  <si>
    <r>
      <t>b</t>
    </r>
    <r>
      <rPr>
        <vertAlign val="subscript"/>
        <sz val="10"/>
        <color theme="0"/>
        <rFont val="Arial"/>
        <family val="2"/>
      </rPr>
      <t>1</t>
    </r>
    <r>
      <rPr>
        <sz val="10"/>
        <color theme="0"/>
        <rFont val="Arial"/>
        <family val="2"/>
      </rPr>
      <t xml:space="preserve"> Corregido</t>
    </r>
  </si>
  <si>
    <t>MAD o ECM</t>
  </si>
  <si>
    <t>Sumas</t>
  </si>
  <si>
    <t>Valor máximo</t>
  </si>
  <si>
    <t>Inflación</t>
  </si>
  <si>
    <t xml:space="preserve">Inversión en activos </t>
  </si>
  <si>
    <t>Inversión en capital de trabajo</t>
  </si>
  <si>
    <t xml:space="preserve">Flujo de caja neto </t>
  </si>
  <si>
    <t xml:space="preserve">   Inversión en capital de trabajo</t>
  </si>
  <si>
    <t>Valor de la empresa en el año 5</t>
  </si>
  <si>
    <t>Flujos de caja totalmente netos</t>
  </si>
  <si>
    <t>Inversiones netas del periodo</t>
  </si>
  <si>
    <t xml:space="preserve">FLUJO DE CAJA </t>
  </si>
  <si>
    <t>Flujo de caja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</si>
</sst>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0.000"/>
    <numFmt numFmtId="165" formatCode="0.0000"/>
    <numFmt numFmtId="166" formatCode="&quot;$&quot;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mo"/>
    </font>
    <font>
      <sz val="1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vertAlign val="subscript"/>
      <sz val="10"/>
      <color theme="0"/>
      <name val="Arial"/>
      <family val="2"/>
    </font>
    <font>
      <b/>
      <i/>
      <vertAlign val="superscript"/>
      <sz val="10"/>
      <color theme="0"/>
      <name val="Arial"/>
      <family val="2"/>
    </font>
    <font>
      <b/>
      <vertAlign val="subscript"/>
      <sz val="10"/>
      <color theme="0"/>
      <name val="Arial"/>
      <family val="2"/>
    </font>
    <font>
      <vertAlign val="subscript"/>
      <sz val="10"/>
      <color theme="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182">
    <xf numFmtId="0" fontId="0" fillId="0" borderId="0" xfId="0"/>
    <xf numFmtId="0" fontId="4" fillId="0" borderId="0" xfId="3"/>
    <xf numFmtId="0" fontId="4" fillId="0" borderId="0" xfId="3" applyAlignment="1">
      <alignment horizontal="center"/>
    </xf>
    <xf numFmtId="0" fontId="5" fillId="0" borderId="0" xfId="3" applyFont="1" applyAlignment="1">
      <alignment horizontal="center"/>
    </xf>
    <xf numFmtId="1" fontId="4" fillId="0" borderId="0" xfId="3" applyNumberFormat="1" applyAlignment="1">
      <alignment horizontal="center"/>
    </xf>
    <xf numFmtId="4" fontId="4" fillId="0" borderId="0" xfId="3" applyNumberFormat="1" applyAlignment="1">
      <alignment horizontal="center"/>
    </xf>
    <xf numFmtId="164" fontId="4" fillId="0" borderId="0" xfId="3" applyNumberForma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4" fillId="0" borderId="0" xfId="3" applyNumberFormat="1" applyAlignment="1">
      <alignment horizontal="left"/>
    </xf>
    <xf numFmtId="10" fontId="0" fillId="0" borderId="0" xfId="2" applyNumberFormat="1" applyFont="1" applyAlignment="1">
      <alignment horizontal="center"/>
    </xf>
    <xf numFmtId="9" fontId="0" fillId="0" borderId="0" xfId="2" applyFont="1" applyAlignment="1">
      <alignment horizont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41" fontId="0" fillId="3" borderId="0" xfId="1" applyNumberFormat="1" applyFont="1" applyFill="1" applyAlignment="1">
      <alignment horizontal="center" vertical="center"/>
    </xf>
    <xf numFmtId="41" fontId="0" fillId="3" borderId="0" xfId="0" applyNumberFormat="1" applyFill="1" applyAlignment="1">
      <alignment horizontal="center" vertical="center"/>
    </xf>
    <xf numFmtId="41" fontId="0" fillId="3" borderId="0" xfId="1" applyFon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1" fontId="0" fillId="0" borderId="0" xfId="1" applyFont="1"/>
    <xf numFmtId="9" fontId="0" fillId="0" borderId="0" xfId="0" applyNumberFormat="1"/>
    <xf numFmtId="41" fontId="0" fillId="0" borderId="0" xfId="0" applyNumberFormat="1"/>
    <xf numFmtId="41" fontId="0" fillId="0" borderId="0" xfId="1" applyFont="1" applyFill="1" applyAlignment="1">
      <alignment horizontal="center" vertical="center"/>
    </xf>
    <xf numFmtId="41" fontId="0" fillId="0" borderId="0" xfId="0" applyNumberFormat="1" applyFill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3" borderId="0" xfId="1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41" fontId="0" fillId="3" borderId="0" xfId="0" applyNumberFormat="1" applyFill="1" applyAlignment="1">
      <alignment horizontal="left" vertical="center"/>
    </xf>
    <xf numFmtId="41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41" fontId="0" fillId="0" borderId="0" xfId="1" applyFont="1" applyFill="1" applyAlignment="1">
      <alignment horizontal="left" vertical="center"/>
    </xf>
    <xf numFmtId="41" fontId="2" fillId="0" borderId="0" xfId="0" applyNumberFormat="1" applyFont="1" applyBorder="1" applyAlignment="1">
      <alignment horizontal="center" vertical="center"/>
    </xf>
    <xf numFmtId="0" fontId="0" fillId="0" borderId="0" xfId="0" applyFill="1"/>
    <xf numFmtId="41" fontId="0" fillId="0" borderId="0" xfId="0" applyNumberFormat="1" applyFill="1"/>
    <xf numFmtId="9" fontId="0" fillId="3" borderId="0" xfId="2" applyFont="1" applyFill="1" applyAlignment="1">
      <alignment horizontal="center" vertic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3" fontId="8" fillId="0" borderId="6" xfId="0" applyNumberFormat="1" applyFont="1" applyBorder="1"/>
    <xf numFmtId="9" fontId="0" fillId="0" borderId="0" xfId="2" applyFont="1"/>
    <xf numFmtId="0" fontId="0" fillId="0" borderId="0" xfId="0" applyBorder="1"/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7" fillId="0" borderId="0" xfId="0" applyFont="1" applyBorder="1"/>
    <xf numFmtId="3" fontId="8" fillId="0" borderId="0" xfId="0" applyNumberFormat="1" applyFont="1" applyBorder="1"/>
    <xf numFmtId="0" fontId="3" fillId="2" borderId="0" xfId="0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3" fontId="8" fillId="0" borderId="6" xfId="0" applyNumberFormat="1" applyFont="1" applyBorder="1" applyAlignment="1">
      <alignment vertical="center"/>
    </xf>
    <xf numFmtId="10" fontId="8" fillId="0" borderId="6" xfId="0" applyNumberFormat="1" applyFont="1" applyBorder="1" applyAlignment="1">
      <alignment vertical="center"/>
    </xf>
    <xf numFmtId="3" fontId="8" fillId="0" borderId="7" xfId="0" applyNumberFormat="1" applyFont="1" applyBorder="1" applyAlignment="1">
      <alignment vertical="center"/>
    </xf>
    <xf numFmtId="9" fontId="0" fillId="0" borderId="0" xfId="0" applyNumberFormat="1" applyFill="1" applyAlignment="1">
      <alignment horizontal="center" vertical="center"/>
    </xf>
    <xf numFmtId="3" fontId="6" fillId="0" borderId="6" xfId="0" applyNumberFormat="1" applyFont="1" applyBorder="1"/>
    <xf numFmtId="0" fontId="2" fillId="0" borderId="0" xfId="0" applyFont="1" applyAlignment="1">
      <alignment horizontal="center"/>
    </xf>
    <xf numFmtId="0" fontId="3" fillId="2" borderId="0" xfId="0" applyFont="1" applyFill="1" applyBorder="1" applyAlignment="1">
      <alignment vertical="center"/>
    </xf>
    <xf numFmtId="3" fontId="8" fillId="0" borderId="0" xfId="0" applyNumberFormat="1" applyFont="1" applyFill="1" applyBorder="1"/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9" fillId="0" borderId="0" xfId="0" applyFont="1" applyFill="1" applyBorder="1"/>
    <xf numFmtId="41" fontId="9" fillId="0" borderId="0" xfId="0" applyNumberFormat="1" applyFont="1" applyFill="1" applyBorder="1"/>
    <xf numFmtId="3" fontId="9" fillId="0" borderId="0" xfId="0" applyNumberFormat="1" applyFont="1" applyFill="1" applyBorder="1"/>
    <xf numFmtId="3" fontId="10" fillId="0" borderId="0" xfId="0" applyNumberFormat="1" applyFont="1" applyBorder="1"/>
    <xf numFmtId="0" fontId="10" fillId="0" borderId="0" xfId="0" applyFont="1" applyBorder="1"/>
    <xf numFmtId="9" fontId="0" fillId="3" borderId="0" xfId="1" applyNumberFormat="1" applyFont="1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41" fontId="0" fillId="3" borderId="0" xfId="1" applyFont="1" applyFill="1" applyBorder="1" applyAlignment="1">
      <alignment horizontal="left" vertical="center"/>
    </xf>
    <xf numFmtId="41" fontId="0" fillId="3" borderId="0" xfId="0" applyNumberForma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41" fontId="2" fillId="0" borderId="0" xfId="1" applyFont="1" applyFill="1" applyAlignment="1">
      <alignment horizontal="left" vertical="center"/>
    </xf>
    <xf numFmtId="41" fontId="1" fillId="0" borderId="0" xfId="1" applyFont="1" applyAlignment="1">
      <alignment horizontal="center" vertical="center"/>
    </xf>
    <xf numFmtId="41" fontId="0" fillId="0" borderId="0" xfId="0" applyNumberFormat="1" applyFont="1" applyBorder="1"/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9" fontId="11" fillId="0" borderId="0" xfId="0" applyNumberFormat="1" applyFont="1" applyBorder="1" applyAlignment="1">
      <alignment horizontal="center" vertical="center"/>
    </xf>
    <xf numFmtId="41" fontId="11" fillId="0" borderId="0" xfId="0" applyNumberFormat="1" applyFont="1" applyBorder="1" applyAlignment="1">
      <alignment horizontal="center" vertical="center"/>
    </xf>
    <xf numFmtId="41" fontId="11" fillId="0" borderId="0" xfId="0" applyNumberFormat="1" applyFont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41" fontId="11" fillId="0" borderId="0" xfId="1" applyFont="1" applyFill="1" applyAlignment="1">
      <alignment horizontal="center" vertical="center"/>
    </xf>
    <xf numFmtId="41" fontId="11" fillId="0" borderId="0" xfId="0" applyNumberFormat="1" applyFont="1" applyFill="1" applyAlignment="1">
      <alignment horizontal="center" vertical="center"/>
    </xf>
    <xf numFmtId="41" fontId="2" fillId="0" borderId="0" xfId="1" applyFont="1" applyFill="1" applyAlignment="1">
      <alignment horizontal="center" vertical="center"/>
    </xf>
    <xf numFmtId="0" fontId="2" fillId="0" borderId="0" xfId="0" applyFont="1" applyFill="1"/>
    <xf numFmtId="41" fontId="2" fillId="0" borderId="0" xfId="1" applyFont="1" applyFill="1"/>
    <xf numFmtId="0" fontId="2" fillId="0" borderId="0" xfId="0" applyFont="1"/>
    <xf numFmtId="41" fontId="11" fillId="0" borderId="0" xfId="0" applyNumberFormat="1" applyFont="1" applyFill="1" applyAlignment="1">
      <alignment horizontal="left" vertical="center"/>
    </xf>
    <xf numFmtId="41" fontId="2" fillId="0" borderId="0" xfId="0" applyNumberFormat="1" applyFont="1" applyFill="1"/>
    <xf numFmtId="41" fontId="11" fillId="0" borderId="0" xfId="0" applyNumberFormat="1" applyFont="1" applyFill="1" applyBorder="1"/>
    <xf numFmtId="41" fontId="2" fillId="0" borderId="0" xfId="0" applyNumberFormat="1" applyFont="1" applyFill="1" applyBorder="1"/>
    <xf numFmtId="0" fontId="9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9" fontId="11" fillId="0" borderId="0" xfId="2" applyFont="1" applyFill="1" applyAlignment="1">
      <alignment horizontal="center" vertical="center"/>
    </xf>
    <xf numFmtId="0" fontId="9" fillId="0" borderId="0" xfId="0" applyFont="1" applyBorder="1"/>
    <xf numFmtId="41" fontId="0" fillId="3" borderId="0" xfId="1" applyFont="1" applyFill="1" applyAlignment="1">
      <alignment horizontal="right" vertical="center"/>
    </xf>
    <xf numFmtId="0" fontId="8" fillId="0" borderId="6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0" fontId="0" fillId="3" borderId="0" xfId="2" applyNumberFormat="1" applyFont="1" applyFill="1" applyAlignment="1">
      <alignment horizontal="center" vertical="center"/>
    </xf>
    <xf numFmtId="10" fontId="0" fillId="0" borderId="0" xfId="2" applyNumberFormat="1" applyFont="1" applyFill="1" applyAlignment="1">
      <alignment horizontal="center" vertical="center"/>
    </xf>
    <xf numFmtId="10" fontId="2" fillId="0" borderId="0" xfId="2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41" fontId="0" fillId="3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  <xf numFmtId="10" fontId="0" fillId="3" borderId="0" xfId="2" applyNumberFormat="1" applyFont="1" applyFill="1" applyAlignment="1">
      <alignment horizontal="center"/>
    </xf>
    <xf numFmtId="41" fontId="0" fillId="3" borderId="0" xfId="2" applyNumberFormat="1" applyFont="1" applyFill="1" applyAlignment="1">
      <alignment horizontal="center"/>
    </xf>
    <xf numFmtId="0" fontId="0" fillId="3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2" fontId="5" fillId="3" borderId="0" xfId="3" applyNumberFormat="1" applyFont="1" applyFill="1" applyBorder="1" applyAlignment="1">
      <alignment horizontal="center"/>
    </xf>
    <xf numFmtId="1" fontId="5" fillId="3" borderId="0" xfId="3" applyNumberFormat="1" applyFont="1" applyFill="1" applyBorder="1" applyAlignment="1">
      <alignment horizontal="center"/>
    </xf>
    <xf numFmtId="1" fontId="4" fillId="0" borderId="0" xfId="3" applyNumberFormat="1"/>
    <xf numFmtId="1" fontId="4" fillId="0" borderId="0" xfId="3" applyNumberFormat="1" applyFill="1" applyAlignment="1">
      <alignment horizontal="center"/>
    </xf>
    <xf numFmtId="1" fontId="5" fillId="0" borderId="2" xfId="3" applyNumberFormat="1" applyFont="1" applyFill="1" applyBorder="1" applyAlignment="1">
      <alignment horizontal="center"/>
    </xf>
    <xf numFmtId="1" fontId="5" fillId="0" borderId="3" xfId="3" applyNumberFormat="1" applyFont="1" applyFill="1" applyBorder="1" applyAlignment="1">
      <alignment horizontal="center"/>
    </xf>
    <xf numFmtId="1" fontId="5" fillId="0" borderId="5" xfId="3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/>
    </xf>
    <xf numFmtId="1" fontId="4" fillId="0" borderId="0" xfId="3" applyNumberFormat="1" applyFill="1" applyBorder="1" applyAlignment="1">
      <alignment horizontal="center"/>
    </xf>
    <xf numFmtId="2" fontId="4" fillId="0" borderId="2" xfId="3" applyNumberFormat="1" applyFont="1" applyFill="1" applyBorder="1" applyAlignment="1">
      <alignment horizontal="center"/>
    </xf>
    <xf numFmtId="1" fontId="4" fillId="0" borderId="2" xfId="3" applyNumberFormat="1" applyFont="1" applyFill="1" applyBorder="1" applyAlignment="1">
      <alignment horizontal="center"/>
    </xf>
    <xf numFmtId="2" fontId="4" fillId="0" borderId="5" xfId="3" applyNumberFormat="1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0" borderId="0" xfId="3" applyAlignment="1">
      <alignment wrapText="1"/>
    </xf>
    <xf numFmtId="4" fontId="4" fillId="0" borderId="0" xfId="3" applyNumberFormat="1" applyFill="1" applyAlignment="1">
      <alignment horizontal="center"/>
    </xf>
    <xf numFmtId="1" fontId="4" fillId="0" borderId="0" xfId="3" applyNumberFormat="1" applyFill="1"/>
    <xf numFmtId="1" fontId="4" fillId="4" borderId="1" xfId="3" applyNumberFormat="1" applyFont="1" applyFill="1" applyBorder="1" applyAlignment="1">
      <alignment horizontal="center"/>
    </xf>
    <xf numFmtId="1" fontId="4" fillId="4" borderId="2" xfId="3" applyNumberFormat="1" applyFont="1" applyFill="1" applyBorder="1" applyAlignment="1">
      <alignment horizontal="center"/>
    </xf>
    <xf numFmtId="1" fontId="4" fillId="4" borderId="0" xfId="3" applyNumberFormat="1" applyFont="1" applyFill="1" applyBorder="1" applyAlignment="1">
      <alignment horizontal="center"/>
    </xf>
    <xf numFmtId="1" fontId="4" fillId="4" borderId="3" xfId="3" applyNumberFormat="1" applyFont="1" applyFill="1" applyBorder="1" applyAlignment="1">
      <alignment horizontal="center"/>
    </xf>
    <xf numFmtId="1" fontId="4" fillId="4" borderId="4" xfId="3" applyNumberFormat="1" applyFont="1" applyFill="1" applyBorder="1" applyAlignment="1">
      <alignment horizontal="center"/>
    </xf>
    <xf numFmtId="1" fontId="4" fillId="4" borderId="5" xfId="3" applyNumberFormat="1" applyFont="1" applyFill="1" applyBorder="1" applyAlignment="1">
      <alignment horizontal="center"/>
    </xf>
    <xf numFmtId="1" fontId="4" fillId="0" borderId="1" xfId="3" applyNumberFormat="1" applyFont="1" applyFill="1" applyBorder="1" applyAlignment="1">
      <alignment horizontal="center"/>
    </xf>
    <xf numFmtId="1" fontId="4" fillId="0" borderId="0" xfId="3" applyNumberFormat="1" applyFont="1" applyFill="1" applyBorder="1" applyAlignment="1">
      <alignment horizontal="center"/>
    </xf>
    <xf numFmtId="1" fontId="4" fillId="0" borderId="3" xfId="3" applyNumberFormat="1" applyFont="1" applyFill="1" applyBorder="1" applyAlignment="1">
      <alignment horizontal="center"/>
    </xf>
    <xf numFmtId="1" fontId="4" fillId="0" borderId="4" xfId="3" applyNumberFormat="1" applyFont="1" applyFill="1" applyBorder="1" applyAlignment="1">
      <alignment horizontal="center"/>
    </xf>
    <xf numFmtId="1" fontId="4" fillId="0" borderId="5" xfId="3" applyNumberFormat="1" applyFont="1" applyFill="1" applyBorder="1" applyAlignment="1">
      <alignment horizontal="center"/>
    </xf>
    <xf numFmtId="2" fontId="4" fillId="4" borderId="1" xfId="3" applyNumberFormat="1" applyFont="1" applyFill="1" applyBorder="1" applyAlignment="1">
      <alignment horizontal="center"/>
    </xf>
    <xf numFmtId="2" fontId="4" fillId="4" borderId="2" xfId="3" applyNumberFormat="1" applyFont="1" applyFill="1" applyBorder="1" applyAlignment="1">
      <alignment horizontal="center"/>
    </xf>
    <xf numFmtId="2" fontId="4" fillId="4" borderId="0" xfId="3" applyNumberFormat="1" applyFont="1" applyFill="1" applyBorder="1" applyAlignment="1">
      <alignment horizontal="center"/>
    </xf>
    <xf numFmtId="2" fontId="4" fillId="4" borderId="3" xfId="3" applyNumberFormat="1" applyFont="1" applyFill="1" applyBorder="1" applyAlignment="1">
      <alignment horizontal="center"/>
    </xf>
    <xf numFmtId="2" fontId="4" fillId="4" borderId="4" xfId="3" applyNumberFormat="1" applyFont="1" applyFill="1" applyBorder="1" applyAlignment="1">
      <alignment horizontal="center"/>
    </xf>
    <xf numFmtId="2" fontId="4" fillId="4" borderId="5" xfId="3" applyNumberFormat="1" applyFont="1" applyFill="1" applyBorder="1" applyAlignment="1">
      <alignment horizontal="center"/>
    </xf>
    <xf numFmtId="4" fontId="5" fillId="0" borderId="0" xfId="3" applyNumberFormat="1" applyFont="1" applyFill="1" applyAlignment="1">
      <alignment horizontal="center"/>
    </xf>
    <xf numFmtId="4" fontId="4" fillId="0" borderId="0" xfId="3" applyNumberFormat="1" applyFill="1"/>
    <xf numFmtId="0" fontId="0" fillId="0" borderId="0" xfId="0" applyFont="1"/>
    <xf numFmtId="3" fontId="9" fillId="0" borderId="0" xfId="0" applyNumberFormat="1" applyFont="1" applyBorder="1"/>
    <xf numFmtId="2" fontId="10" fillId="0" borderId="0" xfId="0" applyNumberFormat="1" applyFont="1" applyBorder="1"/>
    <xf numFmtId="10" fontId="10" fillId="0" borderId="0" xfId="0" applyNumberFormat="1" applyFont="1" applyBorder="1" applyAlignment="1">
      <alignment horizontal="right"/>
    </xf>
    <xf numFmtId="9" fontId="10" fillId="0" borderId="0" xfId="0" applyNumberFormat="1" applyFont="1" applyBorder="1"/>
    <xf numFmtId="10" fontId="10" fillId="0" borderId="0" xfId="0" applyNumberFormat="1" applyFont="1" applyFill="1" applyBorder="1" applyAlignment="1">
      <alignment vertical="center"/>
    </xf>
    <xf numFmtId="41" fontId="1" fillId="0" borderId="0" xfId="1" applyFont="1" applyFill="1" applyAlignment="1">
      <alignment horizontal="left"/>
    </xf>
    <xf numFmtId="41" fontId="1" fillId="3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1" fontId="0" fillId="0" borderId="0" xfId="0" applyNumberFormat="1" applyFont="1"/>
    <xf numFmtId="41" fontId="0" fillId="0" borderId="0" xfId="0" applyNumberFormat="1" applyBorder="1"/>
    <xf numFmtId="3" fontId="0" fillId="0" borderId="0" xfId="0" applyNumberFormat="1" applyFont="1"/>
    <xf numFmtId="166" fontId="0" fillId="0" borderId="0" xfId="0" applyNumberFormat="1"/>
    <xf numFmtId="0" fontId="3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4">
    <cellStyle name="Millares [0]" xfId="1" builtinId="6"/>
    <cellStyle name="Normal" xfId="0" builtinId="0"/>
    <cellStyle name="Normal 2" xfId="3" xr:uid="{3F241B70-5FA1-49CB-A8A1-D146682D3EEB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600"/>
            </a:pPr>
            <a:r>
              <a:rPr lang="es-ES" sz="1600"/>
              <a:t>Suavización doble con alpha = 0,3</a:t>
            </a:r>
          </a:p>
        </c:rich>
      </c:tx>
      <c:layout>
        <c:manualLayout>
          <c:xMode val="edge"/>
          <c:yMode val="edge"/>
          <c:x val="0.29433745687473134"/>
          <c:y val="2.33544324106234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58814893900992E-2"/>
          <c:y val="0.19733384722356037"/>
          <c:w val="0.88316633302193159"/>
          <c:h val="0.6152777098321911"/>
        </c:manualLayout>
      </c:layout>
      <c:lineChart>
        <c:grouping val="standard"/>
        <c:varyColors val="0"/>
        <c:ser>
          <c:idx val="1"/>
          <c:order val="0"/>
          <c:tx>
            <c:strRef>
              <c:f>'Auxilio de transporte'!$D$2</c:f>
              <c:strCache>
                <c:ptCount val="1"/>
                <c:pt idx="0">
                  <c:v>Auxilio de transporte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'Auxilio de transporte'!$C$3:$C$33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'Auxilio de transporte'!$D$3:$D$33</c:f>
              <c:numCache>
                <c:formatCode>0</c:formatCode>
                <c:ptCount val="31"/>
                <c:pt idx="0">
                  <c:v>3798</c:v>
                </c:pt>
                <c:pt idx="1">
                  <c:v>4787</c:v>
                </c:pt>
                <c:pt idx="2">
                  <c:v>6033</c:v>
                </c:pt>
                <c:pt idx="3">
                  <c:v>7542</c:v>
                </c:pt>
                <c:pt idx="4">
                  <c:v>8705</c:v>
                </c:pt>
                <c:pt idx="5">
                  <c:v>10815</c:v>
                </c:pt>
                <c:pt idx="6">
                  <c:v>13567</c:v>
                </c:pt>
                <c:pt idx="7">
                  <c:v>17250</c:v>
                </c:pt>
                <c:pt idx="8">
                  <c:v>20700</c:v>
                </c:pt>
                <c:pt idx="9">
                  <c:v>24012</c:v>
                </c:pt>
                <c:pt idx="10">
                  <c:v>26413</c:v>
                </c:pt>
                <c:pt idx="11">
                  <c:v>30000</c:v>
                </c:pt>
                <c:pt idx="12">
                  <c:v>34000</c:v>
                </c:pt>
                <c:pt idx="13">
                  <c:v>37500</c:v>
                </c:pt>
                <c:pt idx="14">
                  <c:v>41600</c:v>
                </c:pt>
                <c:pt idx="15">
                  <c:v>44500</c:v>
                </c:pt>
                <c:pt idx="16">
                  <c:v>47700</c:v>
                </c:pt>
                <c:pt idx="17">
                  <c:v>50800</c:v>
                </c:pt>
                <c:pt idx="18">
                  <c:v>55000</c:v>
                </c:pt>
                <c:pt idx="19">
                  <c:v>59300</c:v>
                </c:pt>
                <c:pt idx="20">
                  <c:v>61500</c:v>
                </c:pt>
                <c:pt idx="21">
                  <c:v>63600</c:v>
                </c:pt>
                <c:pt idx="22">
                  <c:v>67800</c:v>
                </c:pt>
                <c:pt idx="23">
                  <c:v>70500</c:v>
                </c:pt>
                <c:pt idx="24">
                  <c:v>72000</c:v>
                </c:pt>
                <c:pt idx="25">
                  <c:v>74000</c:v>
                </c:pt>
                <c:pt idx="26">
                  <c:v>77700</c:v>
                </c:pt>
                <c:pt idx="27">
                  <c:v>83140</c:v>
                </c:pt>
                <c:pt idx="28">
                  <c:v>88211</c:v>
                </c:pt>
                <c:pt idx="29">
                  <c:v>97032</c:v>
                </c:pt>
                <c:pt idx="30">
                  <c:v>102854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68C-4719-B9D8-AAA93FB24945}"/>
            </c:ext>
          </c:extLst>
        </c:ser>
        <c:ser>
          <c:idx val="0"/>
          <c:order val="1"/>
          <c:tx>
            <c:strRef>
              <c:f>'Auxilio de transporte'!$G$2</c:f>
              <c:strCache>
                <c:ptCount val="1"/>
                <c:pt idx="0">
                  <c:v>Pronóstico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'Auxilio de transporte'!$C$3:$C$33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'Auxilio de transporte'!$G$3:$G$33</c:f>
              <c:numCache>
                <c:formatCode>0</c:formatCode>
                <c:ptCount val="31"/>
                <c:pt idx="17">
                  <c:v>48398.088235294126</c:v>
                </c:pt>
                <c:pt idx="18">
                  <c:v>52740.186274509819</c:v>
                </c:pt>
                <c:pt idx="19">
                  <c:v>57213.197549019613</c:v>
                </c:pt>
                <c:pt idx="20">
                  <c:v>61785.785294117661</c:v>
                </c:pt>
                <c:pt idx="21">
                  <c:v>65122.632612745103</c:v>
                </c:pt>
                <c:pt idx="22">
                  <c:v>67691.650863725517</c:v>
                </c:pt>
                <c:pt idx="23">
                  <c:v>71102.221228970608</c:v>
                </c:pt>
                <c:pt idx="24">
                  <c:v>74096.200797333353</c:v>
                </c:pt>
                <c:pt idx="25">
                  <c:v>76139.592714071099</c:v>
                </c:pt>
                <c:pt idx="26">
                  <c:v>77968.291409006197</c:v>
                </c:pt>
                <c:pt idx="27">
                  <c:v>80727.207542713877</c:v>
                </c:pt>
                <c:pt idx="28">
                  <c:v>85070.627769386352</c:v>
                </c:pt>
                <c:pt idx="29">
                  <c:v>90067.747181211103</c:v>
                </c:pt>
                <c:pt idx="30">
                  <c:v>97641.828446696236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8C-4719-B9D8-AAA93FB24945}"/>
            </c:ext>
          </c:extLst>
        </c:ser>
        <c:ser>
          <c:idx val="2"/>
          <c:order val="2"/>
          <c:tx>
            <c:strRef>
              <c:f>'Auxilio de transporte'!$K$2</c:f>
              <c:strCache>
                <c:ptCount val="1"/>
                <c:pt idx="0">
                  <c:v>Valor máximo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'Auxilio de transporte'!$K$3:$K$33</c:f>
              <c:numCache>
                <c:formatCode>General</c:formatCode>
                <c:ptCount val="31"/>
                <c:pt idx="17" formatCode="0">
                  <c:v>54098.000034070523</c:v>
                </c:pt>
                <c:pt idx="18" formatCode="0">
                  <c:v>58440.098073286215</c:v>
                </c:pt>
                <c:pt idx="19" formatCode="0">
                  <c:v>62913.109347796009</c:v>
                </c:pt>
                <c:pt idx="20" formatCode="0">
                  <c:v>67485.697092894057</c:v>
                </c:pt>
                <c:pt idx="21" formatCode="0">
                  <c:v>70822.544411521492</c:v>
                </c:pt>
                <c:pt idx="22" formatCode="0">
                  <c:v>73391.562662501907</c:v>
                </c:pt>
                <c:pt idx="23" formatCode="0">
                  <c:v>76802.133027746997</c:v>
                </c:pt>
                <c:pt idx="24" formatCode="0">
                  <c:v>79796.112596109742</c:v>
                </c:pt>
                <c:pt idx="25" formatCode="0">
                  <c:v>81839.504512847489</c:v>
                </c:pt>
                <c:pt idx="26" formatCode="0">
                  <c:v>83668.203207782586</c:v>
                </c:pt>
                <c:pt idx="27" formatCode="0">
                  <c:v>86427.119341490266</c:v>
                </c:pt>
                <c:pt idx="28" formatCode="0">
                  <c:v>90770.539568162741</c:v>
                </c:pt>
                <c:pt idx="29" formatCode="0">
                  <c:v>95767.658979987493</c:v>
                </c:pt>
                <c:pt idx="30" formatCode="0">
                  <c:v>103341.74024547263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C-4719-B9D8-AAA93FB24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19392"/>
        <c:axId val="122630144"/>
      </c:lineChart>
      <c:catAx>
        <c:axId val="122619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Tiempo (Años)</a:t>
                </a:r>
              </a:p>
            </c:rich>
          </c:tx>
          <c:layout>
            <c:manualLayout>
              <c:xMode val="edge"/>
              <c:yMode val="edge"/>
              <c:x val="0.41765743463938809"/>
              <c:y val="0.895384399307533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26301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2263014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Dinero (Pesos)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26193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2.8182748342897811E-2"/>
          <c:y val="9.8009028871391082E-2"/>
          <c:w val="0.93538633094591994"/>
          <c:h val="6.71682892072775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 sz="1200"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/>
            </a:pPr>
            <a:r>
              <a:rPr lang="es-ES" sz="1600" b="1"/>
              <a:t>Suavización doble con alpha = 0,3</a:t>
            </a:r>
          </a:p>
        </c:rich>
      </c:tx>
      <c:layout>
        <c:manualLayout>
          <c:xMode val="edge"/>
          <c:yMode val="edge"/>
          <c:x val="0.31972048383976426"/>
          <c:y val="1.97285733286904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20715845315999"/>
          <c:y val="0.19733384722356037"/>
          <c:w val="0.85911794931175733"/>
          <c:h val="0.61365249932438315"/>
        </c:manualLayout>
      </c:layout>
      <c:lineChart>
        <c:grouping val="standard"/>
        <c:varyColors val="0"/>
        <c:ser>
          <c:idx val="1"/>
          <c:order val="0"/>
          <c:tx>
            <c:strRef>
              <c:f>SMLV!$D$2</c:f>
              <c:strCache>
                <c:ptCount val="1"/>
                <c:pt idx="0">
                  <c:v>SMLV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SMLV!$C$3:$C$39</c:f>
              <c:numCache>
                <c:formatCode>General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</c:numCache>
            </c:numRef>
          </c:cat>
          <c:val>
            <c:numRef>
              <c:f>SMLV!$D$3:$D$39</c:f>
              <c:numCache>
                <c:formatCode>0</c:formatCode>
                <c:ptCount val="37"/>
                <c:pt idx="0">
                  <c:v>11298</c:v>
                </c:pt>
                <c:pt idx="1">
                  <c:v>13558</c:v>
                </c:pt>
                <c:pt idx="2">
                  <c:v>16811</c:v>
                </c:pt>
                <c:pt idx="3">
                  <c:v>20510</c:v>
                </c:pt>
                <c:pt idx="4">
                  <c:v>25637</c:v>
                </c:pt>
                <c:pt idx="5">
                  <c:v>32560</c:v>
                </c:pt>
                <c:pt idx="6">
                  <c:v>41025</c:v>
                </c:pt>
                <c:pt idx="7">
                  <c:v>51716</c:v>
                </c:pt>
                <c:pt idx="8">
                  <c:v>65190</c:v>
                </c:pt>
                <c:pt idx="9">
                  <c:v>82510</c:v>
                </c:pt>
                <c:pt idx="10">
                  <c:v>98700</c:v>
                </c:pt>
                <c:pt idx="11">
                  <c:v>128934</c:v>
                </c:pt>
                <c:pt idx="12">
                  <c:v>142125</c:v>
                </c:pt>
                <c:pt idx="13">
                  <c:v>172005</c:v>
                </c:pt>
                <c:pt idx="14">
                  <c:v>203826</c:v>
                </c:pt>
                <c:pt idx="15">
                  <c:v>236460</c:v>
                </c:pt>
                <c:pt idx="16">
                  <c:v>260100</c:v>
                </c:pt>
                <c:pt idx="17">
                  <c:v>286000</c:v>
                </c:pt>
                <c:pt idx="18">
                  <c:v>309000</c:v>
                </c:pt>
                <c:pt idx="19">
                  <c:v>332000</c:v>
                </c:pt>
                <c:pt idx="20">
                  <c:v>358000</c:v>
                </c:pt>
                <c:pt idx="21">
                  <c:v>381500</c:v>
                </c:pt>
                <c:pt idx="22">
                  <c:v>408000</c:v>
                </c:pt>
                <c:pt idx="23">
                  <c:v>433700</c:v>
                </c:pt>
                <c:pt idx="24">
                  <c:v>461500</c:v>
                </c:pt>
                <c:pt idx="25">
                  <c:v>496900</c:v>
                </c:pt>
                <c:pt idx="26">
                  <c:v>515000</c:v>
                </c:pt>
                <c:pt idx="27">
                  <c:v>535600</c:v>
                </c:pt>
                <c:pt idx="28">
                  <c:v>566700</c:v>
                </c:pt>
                <c:pt idx="29">
                  <c:v>589500</c:v>
                </c:pt>
                <c:pt idx="30">
                  <c:v>616000</c:v>
                </c:pt>
                <c:pt idx="31">
                  <c:v>644350</c:v>
                </c:pt>
                <c:pt idx="32">
                  <c:v>689455</c:v>
                </c:pt>
                <c:pt idx="33">
                  <c:v>737717</c:v>
                </c:pt>
                <c:pt idx="34">
                  <c:v>781242</c:v>
                </c:pt>
                <c:pt idx="35">
                  <c:v>828116</c:v>
                </c:pt>
                <c:pt idx="36">
                  <c:v>877803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ED-4CA8-BB31-25B4B57AA45E}"/>
            </c:ext>
          </c:extLst>
        </c:ser>
        <c:ser>
          <c:idx val="0"/>
          <c:order val="1"/>
          <c:tx>
            <c:strRef>
              <c:f>SMLV!$G$2</c:f>
              <c:strCache>
                <c:ptCount val="1"/>
                <c:pt idx="0">
                  <c:v>Pronóstico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SMLV!$C$3:$C$39</c:f>
              <c:numCache>
                <c:formatCode>General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</c:numCache>
            </c:numRef>
          </c:cat>
          <c:val>
            <c:numRef>
              <c:f>SMLV!$G$3:$G$39</c:f>
              <c:numCache>
                <c:formatCode>0</c:formatCode>
                <c:ptCount val="37"/>
                <c:pt idx="17">
                  <c:v>233957.78676470596</c:v>
                </c:pt>
                <c:pt idx="18">
                  <c:v>280701.52892156865</c:v>
                </c:pt>
                <c:pt idx="19">
                  <c:v>317882.82497549016</c:v>
                </c:pt>
                <c:pt idx="20">
                  <c:v>349102.20579411759</c:v>
                </c:pt>
                <c:pt idx="21">
                  <c:v>378460.50387377449</c:v>
                </c:pt>
                <c:pt idx="22">
                  <c:v>405104.6245841668</c:v>
                </c:pt>
                <c:pt idx="23">
                  <c:v>431935.82751968398</c:v>
                </c:pt>
                <c:pt idx="24">
                  <c:v>458348.89248131582</c:v>
                </c:pt>
                <c:pt idx="25">
                  <c:v>485752.89398919704</c:v>
                </c:pt>
                <c:pt idx="26">
                  <c:v>518238.09426903108</c:v>
                </c:pt>
                <c:pt idx="27">
                  <c:v>543095.41392193711</c:v>
                </c:pt>
                <c:pt idx="28">
                  <c:v>565106.9132988865</c:v>
                </c:pt>
                <c:pt idx="29">
                  <c:v>591896.92579669203</c:v>
                </c:pt>
                <c:pt idx="30">
                  <c:v>616436.30859891465</c:v>
                </c:pt>
                <c:pt idx="31">
                  <c:v>641936.33839810127</c:v>
                </c:pt>
                <c:pt idx="32">
                  <c:v>669107.08254387369</c:v>
                </c:pt>
                <c:pt idx="33">
                  <c:v>707255.60974635347</c:v>
                </c:pt>
                <c:pt idx="34">
                  <c:v>753303.53319839714</c:v>
                </c:pt>
                <c:pt idx="35">
                  <c:v>800579.22770204255</c:v>
                </c:pt>
                <c:pt idx="36">
                  <c:v>850128.36751564499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D-4CA8-BB31-25B4B57AA45E}"/>
            </c:ext>
          </c:extLst>
        </c:ser>
        <c:ser>
          <c:idx val="2"/>
          <c:order val="2"/>
          <c:tx>
            <c:strRef>
              <c:f>SMLV!$K$2</c:f>
              <c:strCache>
                <c:ptCount val="1"/>
                <c:pt idx="0">
                  <c:v>Valor máximo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SMLV!$K$3:$K$39</c:f>
              <c:numCache>
                <c:formatCode>General</c:formatCode>
                <c:ptCount val="37"/>
                <c:pt idx="17" formatCode="0">
                  <c:v>272341.27089773398</c:v>
                </c:pt>
                <c:pt idx="18" formatCode="0">
                  <c:v>319085.01305459673</c:v>
                </c:pt>
                <c:pt idx="19" formatCode="0">
                  <c:v>356266.30910851818</c:v>
                </c:pt>
                <c:pt idx="20" formatCode="0">
                  <c:v>387485.68992714561</c:v>
                </c:pt>
                <c:pt idx="21" formatCode="0">
                  <c:v>416843.98800680251</c:v>
                </c:pt>
                <c:pt idx="22" formatCode="0">
                  <c:v>443488.10871719487</c:v>
                </c:pt>
                <c:pt idx="23" formatCode="0">
                  <c:v>470319.31165271206</c:v>
                </c:pt>
                <c:pt idx="24" formatCode="0">
                  <c:v>496732.37661434384</c:v>
                </c:pt>
                <c:pt idx="25" formatCode="0">
                  <c:v>524136.37812222505</c:v>
                </c:pt>
                <c:pt idx="26" formatCode="0">
                  <c:v>556621.57840205915</c:v>
                </c:pt>
                <c:pt idx="27" formatCode="0">
                  <c:v>581478.89805496519</c:v>
                </c:pt>
                <c:pt idx="28" formatCode="0">
                  <c:v>603490.39743191458</c:v>
                </c:pt>
                <c:pt idx="29" formatCode="0">
                  <c:v>630280.4099297201</c:v>
                </c:pt>
                <c:pt idx="30" formatCode="0">
                  <c:v>654819.79273194273</c:v>
                </c:pt>
                <c:pt idx="31" formatCode="0">
                  <c:v>680319.82253112935</c:v>
                </c:pt>
                <c:pt idx="32" formatCode="0">
                  <c:v>707490.56667690177</c:v>
                </c:pt>
                <c:pt idx="33" formatCode="0">
                  <c:v>745639.09387938154</c:v>
                </c:pt>
                <c:pt idx="34" formatCode="0">
                  <c:v>791687.01733142522</c:v>
                </c:pt>
                <c:pt idx="35" formatCode="0">
                  <c:v>838962.71183507063</c:v>
                </c:pt>
                <c:pt idx="36" formatCode="0">
                  <c:v>888511.85164867307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D-4CA8-BB31-25B4B57AA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19392"/>
        <c:axId val="122630144"/>
      </c:lineChart>
      <c:catAx>
        <c:axId val="122619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Tiempo (Años)</a:t>
                </a:r>
              </a:p>
            </c:rich>
          </c:tx>
          <c:layout>
            <c:manualLayout>
              <c:xMode val="edge"/>
              <c:yMode val="edge"/>
              <c:x val="0.41901905379159354"/>
              <c:y val="0.897856398715233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26301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2263014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Dinero (Pesos)</a:t>
                </a:r>
              </a:p>
            </c:rich>
          </c:tx>
          <c:layout>
            <c:manualLayout>
              <c:xMode val="edge"/>
              <c:yMode val="edge"/>
              <c:x val="1.6624825841922632E-2"/>
              <c:y val="0.354667558328256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26193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2.6799678139254636E-2"/>
          <c:y val="9.8009028871391082E-2"/>
          <c:w val="0.93676937369565716"/>
          <c:h val="8.720993875765528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ysClr val="window" lastClr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+mn-lt"/>
          <a:ea typeface="Arial"/>
          <a:cs typeface="Arial" panose="020B0604020202020204" pitchFamily="34" charset="0"/>
        </a:defRPr>
      </a:pPr>
      <a:endParaRPr lang="es-CO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/>
            </a:pPr>
            <a:r>
              <a:rPr lang="es-ES" sz="1600" b="1"/>
              <a:t>Suavización simple alpha=0,3 </a:t>
            </a:r>
          </a:p>
        </c:rich>
      </c:tx>
      <c:layout>
        <c:manualLayout>
          <c:xMode val="edge"/>
          <c:yMode val="edge"/>
          <c:x val="0.30166715766138924"/>
          <c:y val="3.25204112688729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71924853710356E-2"/>
          <c:y val="0.24411386274297758"/>
          <c:w val="0.88879631356547317"/>
          <c:h val="0.55600059902342747"/>
        </c:manualLayout>
      </c:layout>
      <c:lineChart>
        <c:grouping val="standard"/>
        <c:varyColors val="0"/>
        <c:ser>
          <c:idx val="1"/>
          <c:order val="0"/>
          <c:tx>
            <c:strRef>
              <c:f>Inflación!$D$2</c:f>
              <c:strCache>
                <c:ptCount val="1"/>
                <c:pt idx="0">
                  <c:v>Inflación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Inflación!$C$3:$C$52</c:f>
              <c:numCache>
                <c:formatCode>General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cat>
          <c:val>
            <c:numRef>
              <c:f>Inflación!$D$3:$D$52</c:f>
              <c:numCache>
                <c:formatCode>General</c:formatCode>
                <c:ptCount val="50"/>
                <c:pt idx="0">
                  <c:v>6.83</c:v>
                </c:pt>
                <c:pt idx="1">
                  <c:v>13.91</c:v>
                </c:pt>
                <c:pt idx="2">
                  <c:v>13.86</c:v>
                </c:pt>
                <c:pt idx="3">
                  <c:v>23.48</c:v>
                </c:pt>
                <c:pt idx="4">
                  <c:v>26.06</c:v>
                </c:pt>
                <c:pt idx="5">
                  <c:v>17.690000000000001</c:v>
                </c:pt>
                <c:pt idx="6">
                  <c:v>25.79</c:v>
                </c:pt>
                <c:pt idx="7">
                  <c:v>28.3</c:v>
                </c:pt>
                <c:pt idx="8">
                  <c:v>18.73</c:v>
                </c:pt>
                <c:pt idx="9">
                  <c:v>28.82</c:v>
                </c:pt>
                <c:pt idx="10">
                  <c:v>25.96</c:v>
                </c:pt>
                <c:pt idx="11">
                  <c:v>26.36</c:v>
                </c:pt>
                <c:pt idx="12">
                  <c:v>24.04</c:v>
                </c:pt>
                <c:pt idx="13">
                  <c:v>16.66</c:v>
                </c:pt>
                <c:pt idx="14">
                  <c:v>18.260000000000002</c:v>
                </c:pt>
                <c:pt idx="15">
                  <c:v>22.45</c:v>
                </c:pt>
                <c:pt idx="16">
                  <c:v>20.95</c:v>
                </c:pt>
                <c:pt idx="17">
                  <c:v>24.03</c:v>
                </c:pt>
                <c:pt idx="18">
                  <c:v>28.12</c:v>
                </c:pt>
                <c:pt idx="19">
                  <c:v>26.23</c:v>
                </c:pt>
                <c:pt idx="20">
                  <c:v>32.369999999999997</c:v>
                </c:pt>
                <c:pt idx="21">
                  <c:v>26.82</c:v>
                </c:pt>
                <c:pt idx="22">
                  <c:v>25.14</c:v>
                </c:pt>
                <c:pt idx="23">
                  <c:v>22.61</c:v>
                </c:pt>
                <c:pt idx="24">
                  <c:v>22.6</c:v>
                </c:pt>
                <c:pt idx="25">
                  <c:v>19.47</c:v>
                </c:pt>
                <c:pt idx="26">
                  <c:v>21.64</c:v>
                </c:pt>
                <c:pt idx="27">
                  <c:v>17.68</c:v>
                </c:pt>
                <c:pt idx="28">
                  <c:v>16.7</c:v>
                </c:pt>
                <c:pt idx="29">
                  <c:v>9.23</c:v>
                </c:pt>
                <c:pt idx="30">
                  <c:v>8.75</c:v>
                </c:pt>
                <c:pt idx="31">
                  <c:v>7.65</c:v>
                </c:pt>
                <c:pt idx="32">
                  <c:v>6.99</c:v>
                </c:pt>
                <c:pt idx="33">
                  <c:v>6.49</c:v>
                </c:pt>
                <c:pt idx="34">
                  <c:v>5.5</c:v>
                </c:pt>
                <c:pt idx="35">
                  <c:v>4.8499999999999996</c:v>
                </c:pt>
                <c:pt idx="36">
                  <c:v>4.4800000000000004</c:v>
                </c:pt>
                <c:pt idx="37">
                  <c:v>5.69</c:v>
                </c:pt>
                <c:pt idx="38">
                  <c:v>7.67</c:v>
                </c:pt>
                <c:pt idx="39">
                  <c:v>2</c:v>
                </c:pt>
                <c:pt idx="40">
                  <c:v>3.17</c:v>
                </c:pt>
                <c:pt idx="41">
                  <c:v>3.73</c:v>
                </c:pt>
                <c:pt idx="42">
                  <c:v>2.44</c:v>
                </c:pt>
                <c:pt idx="43">
                  <c:v>1.94</c:v>
                </c:pt>
                <c:pt idx="44">
                  <c:v>3.66</c:v>
                </c:pt>
                <c:pt idx="45">
                  <c:v>6.77</c:v>
                </c:pt>
                <c:pt idx="46">
                  <c:v>5.75</c:v>
                </c:pt>
                <c:pt idx="47">
                  <c:v>4.09</c:v>
                </c:pt>
                <c:pt idx="48">
                  <c:v>3.18</c:v>
                </c:pt>
                <c:pt idx="49">
                  <c:v>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EEB-404B-80DA-B92A13F29AB4}"/>
            </c:ext>
          </c:extLst>
        </c:ser>
        <c:ser>
          <c:idx val="2"/>
          <c:order val="1"/>
          <c:tx>
            <c:strRef>
              <c:f>Inflación!$F$2</c:f>
              <c:strCache>
                <c:ptCount val="1"/>
                <c:pt idx="0">
                  <c:v>ST2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Inflación!$C$3:$C$52</c:f>
              <c:numCache>
                <c:formatCode>General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cat>
          <c:val>
            <c:numRef>
              <c:f>Inflación!$F$3:$F$52</c:f>
              <c:numCache>
                <c:formatCode>0</c:formatCode>
                <c:ptCount val="50"/>
                <c:pt idx="20" formatCode="#,##0.00">
                  <c:v>21.826500000000003</c:v>
                </c:pt>
                <c:pt idx="21" formatCode="#,##0.00">
                  <c:v>24.989550000000001</c:v>
                </c:pt>
                <c:pt idx="22" formatCode="#,##0.00">
                  <c:v>25.538684999999997</c:v>
                </c:pt>
                <c:pt idx="23" formatCode="#,##0.00">
                  <c:v>25.419079499999995</c:v>
                </c:pt>
                <c:pt idx="24" formatCode="#,##0.00">
                  <c:v>24.576355649999996</c:v>
                </c:pt>
                <c:pt idx="25" formatCode="#,##0.00">
                  <c:v>23.983448954999997</c:v>
                </c:pt>
                <c:pt idx="26" formatCode="#,##0.00">
                  <c:v>22.629414268499993</c:v>
                </c:pt>
                <c:pt idx="27" formatCode="#,##0.00">
                  <c:v>22.332589987949994</c:v>
                </c:pt>
                <c:pt idx="28" formatCode="#,##0.00">
                  <c:v>20.936812991564995</c:v>
                </c:pt>
                <c:pt idx="29" formatCode="#,##0.00">
                  <c:v>19.665769094095495</c:v>
                </c:pt>
                <c:pt idx="30" formatCode="#,##0.00">
                  <c:v>16.535038365866846</c:v>
                </c:pt>
                <c:pt idx="31" formatCode="#,##0.00">
                  <c:v>14.199526856106791</c:v>
                </c:pt>
                <c:pt idx="32" formatCode="#,##0.00">
                  <c:v>12.234668799274754</c:v>
                </c:pt>
                <c:pt idx="33" formatCode="#,##0.00">
                  <c:v>10.661268159492327</c:v>
                </c:pt>
                <c:pt idx="34" formatCode="#,##0.00">
                  <c:v>9.4098877116446289</c:v>
                </c:pt>
                <c:pt idx="35" formatCode="#,##0.00">
                  <c:v>8.2369213981512406</c:v>
                </c:pt>
                <c:pt idx="36" formatCode="#,##0.00">
                  <c:v>7.2208449787058679</c:v>
                </c:pt>
                <c:pt idx="37" formatCode="#,##0.00">
                  <c:v>6.3985914850941077</c:v>
                </c:pt>
                <c:pt idx="38" formatCode="#,##0.00">
                  <c:v>6.1860140395658751</c:v>
                </c:pt>
                <c:pt idx="39" formatCode="#,##0.00">
                  <c:v>6.6312098276961127</c:v>
                </c:pt>
                <c:pt idx="40" formatCode="#,##0.00">
                  <c:v>5.2418468793872783</c:v>
                </c:pt>
                <c:pt idx="41" formatCode="#,##0.00">
                  <c:v>4.6202928155710943</c:v>
                </c:pt>
                <c:pt idx="42" formatCode="#,##0.00">
                  <c:v>4.3532049708997658</c:v>
                </c:pt>
                <c:pt idx="43" formatCode="#,##0.00">
                  <c:v>3.7792434796298355</c:v>
                </c:pt>
                <c:pt idx="44" formatCode="#,##0.00">
                  <c:v>3.2274704357408845</c:v>
                </c:pt>
                <c:pt idx="45" formatCode="#,##0.00">
                  <c:v>3.3572293050186195</c:v>
                </c:pt>
                <c:pt idx="46" formatCode="#,##0.00">
                  <c:v>4.3810605135130327</c:v>
                </c:pt>
                <c:pt idx="47" formatCode="#,##0.00">
                  <c:v>4.7917423594591222</c:v>
                </c:pt>
                <c:pt idx="48" formatCode="#,##0.00">
                  <c:v>4.5812196516213852</c:v>
                </c:pt>
                <c:pt idx="49" formatCode="#,##0.00">
                  <c:v>4.1608537561349692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EB-404B-80DA-B92A13F29AB4}"/>
            </c:ext>
          </c:extLst>
        </c:ser>
        <c:ser>
          <c:idx val="0"/>
          <c:order val="2"/>
          <c:tx>
            <c:strRef>
              <c:f>Inflación!$J$2</c:f>
              <c:strCache>
                <c:ptCount val="1"/>
                <c:pt idx="0">
                  <c:v>Error cuadr.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Inflación!$J$3:$J$52</c:f>
              <c:numCache>
                <c:formatCode>General</c:formatCode>
                <c:ptCount val="50"/>
                <c:pt idx="20" formatCode="#,##0.00">
                  <c:v>30.076983939228871</c:v>
                </c:pt>
                <c:pt idx="21" formatCode="#,##0.00">
                  <c:v>33.240033939228866</c:v>
                </c:pt>
                <c:pt idx="22" formatCode="#,##0.00">
                  <c:v>33.789168939228865</c:v>
                </c:pt>
                <c:pt idx="23" formatCode="#,##0.00">
                  <c:v>33.669563439228867</c:v>
                </c:pt>
                <c:pt idx="24" formatCode="#,##0.00">
                  <c:v>32.826839589228868</c:v>
                </c:pt>
                <c:pt idx="25" formatCode="#,##0.00">
                  <c:v>32.233932894228865</c:v>
                </c:pt>
                <c:pt idx="26" formatCode="#,##0.00">
                  <c:v>30.879898207728861</c:v>
                </c:pt>
                <c:pt idx="27" formatCode="#,##0.00">
                  <c:v>30.583073927178862</c:v>
                </c:pt>
                <c:pt idx="28" formatCode="#,##0.00">
                  <c:v>29.187296930793863</c:v>
                </c:pt>
                <c:pt idx="29" formatCode="#,##0.00">
                  <c:v>27.916253033324363</c:v>
                </c:pt>
                <c:pt idx="30" formatCode="#,##0.00">
                  <c:v>24.785522305095714</c:v>
                </c:pt>
                <c:pt idx="31" formatCode="#,##0.00">
                  <c:v>22.450010795335658</c:v>
                </c:pt>
                <c:pt idx="32" formatCode="#,##0.00">
                  <c:v>20.485152738503622</c:v>
                </c:pt>
                <c:pt idx="33" formatCode="#,##0.00">
                  <c:v>18.911752098721195</c:v>
                </c:pt>
                <c:pt idx="34" formatCode="#,##0.00">
                  <c:v>17.660371650873497</c:v>
                </c:pt>
                <c:pt idx="35" formatCode="#,##0.00">
                  <c:v>16.48740533738011</c:v>
                </c:pt>
                <c:pt idx="36" formatCode="#,##0.00">
                  <c:v>15.471328917934736</c:v>
                </c:pt>
                <c:pt idx="37" formatCode="#,##0.00">
                  <c:v>14.649075424322977</c:v>
                </c:pt>
                <c:pt idx="38" formatCode="#,##0.00">
                  <c:v>14.436497978794744</c:v>
                </c:pt>
                <c:pt idx="39" formatCode="#,##0.00">
                  <c:v>14.881693766924981</c:v>
                </c:pt>
                <c:pt idx="40" formatCode="#,##0.00">
                  <c:v>13.492330818616146</c:v>
                </c:pt>
                <c:pt idx="41" formatCode="#,##0.00">
                  <c:v>12.870776754799962</c:v>
                </c:pt>
                <c:pt idx="42" formatCode="#,##0.00">
                  <c:v>12.603688910128634</c:v>
                </c:pt>
                <c:pt idx="43" formatCode="#,##0.00">
                  <c:v>12.029727418858704</c:v>
                </c:pt>
                <c:pt idx="44" formatCode="#,##0.00">
                  <c:v>11.477954374969752</c:v>
                </c:pt>
                <c:pt idx="45" formatCode="#,##0.00">
                  <c:v>11.607713244247488</c:v>
                </c:pt>
                <c:pt idx="46" formatCode="#,##0.00">
                  <c:v>12.631544452741901</c:v>
                </c:pt>
                <c:pt idx="47" formatCode="#,##0.00">
                  <c:v>13.042226298687989</c:v>
                </c:pt>
                <c:pt idx="48" formatCode="#,##0.00">
                  <c:v>12.831703590850253</c:v>
                </c:pt>
                <c:pt idx="49" formatCode="#,##0.00">
                  <c:v>12.411337695363837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B-404B-80DA-B92A13F29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75648"/>
        <c:axId val="122477952"/>
      </c:lineChart>
      <c:catAx>
        <c:axId val="122475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Tiempo (Años)</a:t>
                </a:r>
              </a:p>
            </c:rich>
          </c:tx>
          <c:layout>
            <c:manualLayout>
              <c:xMode val="edge"/>
              <c:yMode val="edge"/>
              <c:x val="0.41833399954527567"/>
              <c:y val="0.894965660185722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24779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2477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Inflación</a:t>
                </a:r>
                <a:r>
                  <a:rPr lang="es-ES" baseline="0"/>
                  <a:t> (Porcentaje)</a:t>
                </a:r>
                <a:endParaRPr lang="es-ES"/>
              </a:p>
            </c:rich>
          </c:tx>
          <c:layout>
            <c:manualLayout>
              <c:xMode val="edge"/>
              <c:yMode val="edge"/>
              <c:x val="1.8991331347711506E-2"/>
              <c:y val="0.346679928065814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247564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333355850963897"/>
          <c:y val="0.12402945742398595"/>
          <c:w val="0.73166785753232066"/>
          <c:h val="8.943113098940069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ysClr val="window" lastClr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+mn-lt"/>
          <a:ea typeface="Arial"/>
          <a:cs typeface="Arial" panose="020B0604020202020204" pitchFamily="34" charset="0"/>
        </a:defRPr>
      </a:pPr>
      <a:endParaRPr lang="es-CO"/>
    </a:p>
  </c:txPr>
  <c:printSettings>
    <c:headerFooter alignWithMargins="0"/>
    <c:pageMargins b="1" l="0.75000000000000044" r="0.75000000000000044" t="1" header="0" footer="0"/>
    <c:pageSetup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11904</xdr:colOff>
      <xdr:row>44</xdr:row>
      <xdr:rowOff>47625</xdr:rowOff>
    </xdr:from>
    <xdr:to>
      <xdr:col>10</xdr:col>
      <xdr:colOff>904874</xdr:colOff>
      <xdr:row>67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157164</xdr:colOff>
      <xdr:row>49</xdr:row>
      <xdr:rowOff>152401</xdr:rowOff>
    </xdr:from>
    <xdr:to>
      <xdr:col>10</xdr:col>
      <xdr:colOff>898072</xdr:colOff>
      <xdr:row>74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149678</xdr:colOff>
      <xdr:row>59</xdr:row>
      <xdr:rowOff>12246</xdr:rowOff>
    </xdr:from>
    <xdr:to>
      <xdr:col>10</xdr:col>
      <xdr:colOff>0</xdr:colOff>
      <xdr:row>82</xdr:row>
      <xdr:rowOff>149677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3e5f40676e2cf3e/Escritorio/Universidad/X%20semestre/TG2/Universidad/IX%20semestre/Inventarios/Taller%202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3e5f40676e2cf3e/Escritorio/Universidad/X%20semestre/TG2/pronost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m_movil (N=12)"/>
      <sheetName val="suav_simple"/>
      <sheetName val="suav_doble"/>
      <sheetName val="Pronostico Combinado "/>
    </sheetNames>
    <sheetDataSet>
      <sheetData sheetId="0">
        <row r="18">
          <cell r="J18">
            <v>1.96</v>
          </cell>
        </row>
      </sheetData>
      <sheetData sheetId="1">
        <row r="54">
          <cell r="B54">
            <v>2.8746579033603611E-2</v>
          </cell>
        </row>
      </sheetData>
      <sheetData sheetId="2">
        <row r="54">
          <cell r="B54">
            <v>0.15700566244696595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ación"/>
      <sheetName val="Auxilio de transporte"/>
      <sheetName val="SMLV"/>
    </sheetNames>
    <sheetDataSet>
      <sheetData sheetId="0"/>
      <sheetData sheetId="1"/>
      <sheetData sheetId="2">
        <row r="45">
          <cell r="B45">
            <v>0.3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7CA5-9EA7-4606-9281-0AFF7745BC33}">
  <dimension ref="B2:L52"/>
  <sheetViews>
    <sheetView showGridLines="0" tabSelected="1" zoomScale="70" zoomScaleNormal="70" workbookViewId="0">
      <selection activeCell="B1" sqref="B1"/>
    </sheetView>
  </sheetViews>
  <sheetFormatPr baseColWidth="10" defaultColWidth="11.42578125" defaultRowHeight="12.75"/>
  <cols>
    <col min="1" max="1" width="2.7109375" style="1" customWidth="1"/>
    <col min="2" max="11" width="13.7109375" style="1" customWidth="1"/>
    <col min="12" max="15" width="11.42578125" style="1"/>
    <col min="16" max="16" width="22" style="1" customWidth="1"/>
    <col min="17" max="16384" width="11.42578125" style="1"/>
  </cols>
  <sheetData>
    <row r="2" spans="2:11" s="142" customFormat="1" ht="30" customHeight="1">
      <c r="B2" s="141" t="s">
        <v>193</v>
      </c>
      <c r="C2" s="141" t="s">
        <v>267</v>
      </c>
      <c r="D2" s="141" t="s">
        <v>13</v>
      </c>
      <c r="E2" s="141" t="s">
        <v>268</v>
      </c>
      <c r="F2" s="141" t="s">
        <v>269</v>
      </c>
      <c r="G2" s="141" t="s">
        <v>1</v>
      </c>
      <c r="H2" s="141" t="s">
        <v>2</v>
      </c>
      <c r="I2" s="141" t="s">
        <v>3</v>
      </c>
      <c r="J2" s="141" t="s">
        <v>4</v>
      </c>
      <c r="K2" s="141" t="s">
        <v>275</v>
      </c>
    </row>
    <row r="3" spans="2:11">
      <c r="B3" s="2">
        <f t="shared" ref="B3:B32" si="0">B4-1</f>
        <v>1990</v>
      </c>
      <c r="C3" s="2">
        <v>1</v>
      </c>
      <c r="D3" s="137">
        <v>3798</v>
      </c>
      <c r="E3" s="2"/>
      <c r="F3" s="2"/>
      <c r="G3" s="4"/>
      <c r="K3" s="2"/>
    </row>
    <row r="4" spans="2:11">
      <c r="B4" s="2">
        <f t="shared" si="0"/>
        <v>1991</v>
      </c>
      <c r="C4" s="2">
        <v>2</v>
      </c>
      <c r="D4" s="137">
        <v>4787</v>
      </c>
      <c r="E4" s="2"/>
      <c r="F4" s="2"/>
      <c r="G4" s="4"/>
      <c r="H4" s="14"/>
      <c r="K4" s="2"/>
    </row>
    <row r="5" spans="2:11" ht="15">
      <c r="B5" s="2">
        <f t="shared" si="0"/>
        <v>1992</v>
      </c>
      <c r="C5" s="2">
        <v>3</v>
      </c>
      <c r="D5" s="137">
        <v>6033</v>
      </c>
      <c r="E5" s="133" t="s">
        <v>270</v>
      </c>
      <c r="F5" s="130">
        <f>(SUMPRODUCT($C$3:$C$19,$D$3:$D$19)-SUM($D$3:$D$19)*SUM($C$3:$C$19)/COUNTA($C$3:$C$19))/(SUMSQ($C$3:$C$19)-SUM($C$3:$C$19)*SUM($C$3:$C$19)/COUNTA($D$3:$D$19))</f>
        <v>2900.9509803921569</v>
      </c>
      <c r="G5" s="4"/>
      <c r="K5" s="2"/>
    </row>
    <row r="6" spans="2:11" ht="15">
      <c r="B6" s="2">
        <f t="shared" si="0"/>
        <v>1993</v>
      </c>
      <c r="C6" s="2">
        <v>4</v>
      </c>
      <c r="D6" s="137">
        <v>7542</v>
      </c>
      <c r="E6" s="134" t="s">
        <v>271</v>
      </c>
      <c r="F6" s="131">
        <f>AVERAGE($D$3:$D$19)-F5*AVERAGE($C$3:$C$19)</f>
        <v>-3819.0294117647063</v>
      </c>
      <c r="G6" s="4"/>
      <c r="K6" s="2"/>
    </row>
    <row r="7" spans="2:11" ht="15.75">
      <c r="B7" s="2">
        <f t="shared" si="0"/>
        <v>1994</v>
      </c>
      <c r="C7" s="2">
        <v>5</v>
      </c>
      <c r="D7" s="137">
        <v>8705</v>
      </c>
      <c r="E7" s="135" t="s">
        <v>272</v>
      </c>
      <c r="F7" s="132">
        <f>F6+COUNTA(C3:C19)*F5</f>
        <v>45497.137254901958</v>
      </c>
      <c r="G7" s="4"/>
      <c r="H7" s="2"/>
      <c r="K7" s="2"/>
    </row>
    <row r="8" spans="2:11">
      <c r="B8" s="2">
        <f t="shared" si="0"/>
        <v>1995</v>
      </c>
      <c r="C8" s="2">
        <v>6</v>
      </c>
      <c r="D8" s="137">
        <v>10815</v>
      </c>
      <c r="E8" s="2"/>
      <c r="F8" s="2"/>
      <c r="G8" s="4"/>
      <c r="H8" s="2"/>
      <c r="K8" s="2"/>
    </row>
    <row r="9" spans="2:11">
      <c r="B9" s="2">
        <f t="shared" si="0"/>
        <v>1996</v>
      </c>
      <c r="C9" s="2">
        <v>7</v>
      </c>
      <c r="D9" s="137">
        <v>13567</v>
      </c>
      <c r="E9" s="2"/>
      <c r="F9" s="2"/>
      <c r="G9" s="4"/>
      <c r="H9" s="2"/>
      <c r="K9" s="2"/>
    </row>
    <row r="10" spans="2:11">
      <c r="B10" s="2">
        <f t="shared" si="0"/>
        <v>1997</v>
      </c>
      <c r="C10" s="2">
        <v>8</v>
      </c>
      <c r="D10" s="137">
        <v>17250</v>
      </c>
      <c r="E10" s="2"/>
      <c r="F10" s="2"/>
      <c r="G10" s="4"/>
      <c r="H10" s="2"/>
      <c r="K10" s="2"/>
    </row>
    <row r="11" spans="2:11">
      <c r="B11" s="2">
        <f t="shared" si="0"/>
        <v>1998</v>
      </c>
      <c r="C11" s="2">
        <v>9</v>
      </c>
      <c r="D11" s="137">
        <v>20700</v>
      </c>
      <c r="G11" s="4"/>
      <c r="H11" s="2"/>
      <c r="K11" s="2"/>
    </row>
    <row r="12" spans="2:11">
      <c r="B12" s="2">
        <f t="shared" si="0"/>
        <v>1999</v>
      </c>
      <c r="C12" s="2">
        <v>10</v>
      </c>
      <c r="D12" s="137">
        <v>24012</v>
      </c>
      <c r="G12" s="4"/>
      <c r="K12" s="2"/>
    </row>
    <row r="13" spans="2:11">
      <c r="B13" s="2">
        <f t="shared" si="0"/>
        <v>2000</v>
      </c>
      <c r="C13" s="2">
        <v>11</v>
      </c>
      <c r="D13" s="137">
        <v>26413</v>
      </c>
      <c r="G13" s="4"/>
      <c r="K13" s="2"/>
    </row>
    <row r="14" spans="2:11">
      <c r="B14" s="2">
        <f t="shared" si="0"/>
        <v>2001</v>
      </c>
      <c r="C14" s="2">
        <v>12</v>
      </c>
      <c r="D14" s="137">
        <v>30000</v>
      </c>
      <c r="G14" s="4"/>
      <c r="K14" s="2"/>
    </row>
    <row r="15" spans="2:11">
      <c r="B15" s="2">
        <f t="shared" si="0"/>
        <v>2002</v>
      </c>
      <c r="C15" s="2">
        <v>13</v>
      </c>
      <c r="D15" s="137">
        <v>34000</v>
      </c>
      <c r="G15" s="4"/>
      <c r="K15" s="2"/>
    </row>
    <row r="16" spans="2:11">
      <c r="B16" s="2">
        <f t="shared" si="0"/>
        <v>2003</v>
      </c>
      <c r="C16" s="2">
        <v>14</v>
      </c>
      <c r="D16" s="137">
        <v>37500</v>
      </c>
      <c r="G16" s="4"/>
      <c r="K16" s="2"/>
    </row>
    <row r="17" spans="2:12">
      <c r="B17" s="2">
        <f t="shared" si="0"/>
        <v>2004</v>
      </c>
      <c r="C17" s="2">
        <v>15</v>
      </c>
      <c r="D17" s="137">
        <v>41600</v>
      </c>
      <c r="K17" s="2"/>
    </row>
    <row r="18" spans="2:12">
      <c r="B18" s="2">
        <f t="shared" si="0"/>
        <v>2005</v>
      </c>
      <c r="C18" s="2">
        <v>16</v>
      </c>
      <c r="D18" s="137">
        <v>44500</v>
      </c>
      <c r="K18" s="2"/>
    </row>
    <row r="19" spans="2:12">
      <c r="B19" s="2">
        <f t="shared" si="0"/>
        <v>2006</v>
      </c>
      <c r="C19" s="2">
        <v>17</v>
      </c>
      <c r="D19" s="137">
        <v>47700</v>
      </c>
      <c r="E19" s="127">
        <f>F7-(1-ALPHA_2)*F5/ALPHA_2</f>
        <v>38728.251633986925</v>
      </c>
      <c r="F19" s="127">
        <f>F7-2*(1-ALPHA_2)*F5/ALPHA_2</f>
        <v>31959.366013071893</v>
      </c>
      <c r="G19" s="4"/>
      <c r="H19" s="4"/>
      <c r="I19" s="128"/>
      <c r="J19" s="128"/>
      <c r="K19" s="4"/>
    </row>
    <row r="20" spans="2:12">
      <c r="B20" s="2">
        <f t="shared" si="0"/>
        <v>2007</v>
      </c>
      <c r="C20" s="2">
        <v>18</v>
      </c>
      <c r="D20" s="4">
        <v>50800</v>
      </c>
      <c r="E20" s="129">
        <f>ALPHA_2*D20+(1-ALPHA_2)*E19</f>
        <v>42349.776143790848</v>
      </c>
      <c r="F20" s="129">
        <f>ALPHA_2*E20+(1-ALPHA_2)*F19</f>
        <v>35076.489052287579</v>
      </c>
      <c r="G20" s="129">
        <f>(2+ALPHA_2/(1-ALPHA_2))*E19-(1+ALPHA_2/(1-ALPHA_2))*F19</f>
        <v>48398.088235294126</v>
      </c>
      <c r="H20" s="4">
        <f>D20-G20</f>
        <v>2401.9117647058738</v>
      </c>
      <c r="I20" s="4">
        <f>ABS(H20)</f>
        <v>2401.9117647058738</v>
      </c>
      <c r="J20" s="4">
        <f>I20*I20</f>
        <v>5769180.1254324848</v>
      </c>
      <c r="K20" s="4">
        <v>54098.000034070523</v>
      </c>
    </row>
    <row r="21" spans="2:12">
      <c r="B21" s="2">
        <f t="shared" si="0"/>
        <v>2008</v>
      </c>
      <c r="C21" s="2">
        <v>19</v>
      </c>
      <c r="D21" s="4">
        <v>55000</v>
      </c>
      <c r="E21" s="129">
        <f>ALPHA_2*D21+(1-ALPHA_2)*E20</f>
        <v>46144.843300653592</v>
      </c>
      <c r="F21" s="129">
        <f>ALPHA_2*E21+(1-ALPHA_2)*F20</f>
        <v>38396.995326797383</v>
      </c>
      <c r="G21" s="129">
        <f t="shared" ref="G21:G33" si="1">(2+ALPHA_2/(1-ALPHA_2))*E20-(1+ALPHA_2/(1-ALPHA_2))*F20</f>
        <v>52740.186274509819</v>
      </c>
      <c r="H21" s="4">
        <f t="shared" ref="H21:H33" si="2">D21-G21</f>
        <v>2259.8137254901812</v>
      </c>
      <c r="I21" s="4">
        <f t="shared" ref="I21:I33" si="3">ABS(H21)</f>
        <v>2259.8137254901812</v>
      </c>
      <c r="J21" s="4">
        <f t="shared" ref="J21:J33" si="4">I21*I21</f>
        <v>5106758.0739138126</v>
      </c>
      <c r="K21" s="4">
        <v>58440.098073286215</v>
      </c>
    </row>
    <row r="22" spans="2:12">
      <c r="B22" s="2">
        <f t="shared" si="0"/>
        <v>2009</v>
      </c>
      <c r="C22" s="2">
        <v>20</v>
      </c>
      <c r="D22" s="4">
        <v>59300</v>
      </c>
      <c r="E22" s="129">
        <f t="shared" ref="E22:E33" si="5">ALPHA_2*D22+(1-ALPHA_2)*E21</f>
        <v>50091.390310457515</v>
      </c>
      <c r="F22" s="129">
        <f t="shared" ref="F22:F33" si="6">ALPHA_2*E22+(1-ALPHA_2)*F21</f>
        <v>41905.313821895419</v>
      </c>
      <c r="G22" s="129">
        <f t="shared" si="1"/>
        <v>57213.197549019613</v>
      </c>
      <c r="H22" s="4">
        <f t="shared" si="2"/>
        <v>2086.8024509803872</v>
      </c>
      <c r="I22" s="4">
        <f t="shared" si="3"/>
        <v>2086.8024509803872</v>
      </c>
      <c r="J22" s="4">
        <f t="shared" si="4"/>
        <v>4354744.4694177518</v>
      </c>
      <c r="K22" s="4">
        <v>62913.109347796009</v>
      </c>
    </row>
    <row r="23" spans="2:12">
      <c r="B23" s="2">
        <f t="shared" si="0"/>
        <v>2010</v>
      </c>
      <c r="C23" s="2">
        <v>21</v>
      </c>
      <c r="D23" s="4">
        <v>61500</v>
      </c>
      <c r="E23" s="129">
        <f t="shared" si="5"/>
        <v>53513.973217320257</v>
      </c>
      <c r="F23" s="129">
        <f t="shared" si="6"/>
        <v>45387.911640522871</v>
      </c>
      <c r="G23" s="129">
        <f t="shared" si="1"/>
        <v>61785.785294117661</v>
      </c>
      <c r="H23" s="4">
        <f t="shared" si="2"/>
        <v>-285.78529411766067</v>
      </c>
      <c r="I23" s="4">
        <f t="shared" si="3"/>
        <v>285.78529411766067</v>
      </c>
      <c r="J23" s="4">
        <f>I23*I23</f>
        <v>81673.234333917819</v>
      </c>
      <c r="K23" s="4">
        <v>67485.697092894057</v>
      </c>
    </row>
    <row r="24" spans="2:12">
      <c r="B24" s="2">
        <f t="shared" si="0"/>
        <v>2011</v>
      </c>
      <c r="C24" s="2">
        <v>22</v>
      </c>
      <c r="D24" s="4">
        <v>63600</v>
      </c>
      <c r="E24" s="129">
        <f t="shared" si="5"/>
        <v>56539.781252124179</v>
      </c>
      <c r="F24" s="129">
        <f t="shared" si="6"/>
        <v>48733.472524003257</v>
      </c>
      <c r="G24" s="129">
        <f t="shared" si="1"/>
        <v>65122.632612745103</v>
      </c>
      <c r="H24" s="4">
        <f t="shared" si="2"/>
        <v>-1522.632612745103</v>
      </c>
      <c r="I24" s="4">
        <f t="shared" si="3"/>
        <v>1522.632612745103</v>
      </c>
      <c r="J24" s="4">
        <f t="shared" si="4"/>
        <v>2318410.0733949789</v>
      </c>
      <c r="K24" s="4">
        <v>70822.544411521492</v>
      </c>
    </row>
    <row r="25" spans="2:12">
      <c r="B25" s="2">
        <f t="shared" si="0"/>
        <v>2012</v>
      </c>
      <c r="C25" s="2">
        <v>23</v>
      </c>
      <c r="D25" s="4">
        <v>67800</v>
      </c>
      <c r="E25" s="129">
        <f t="shared" si="5"/>
        <v>59917.846876486925</v>
      </c>
      <c r="F25" s="129">
        <f t="shared" si="6"/>
        <v>52088.784829748358</v>
      </c>
      <c r="G25" s="129">
        <f t="shared" si="1"/>
        <v>67691.650863725517</v>
      </c>
      <c r="H25" s="4">
        <f t="shared" si="2"/>
        <v>108.34913627448259</v>
      </c>
      <c r="I25" s="4">
        <f t="shared" si="3"/>
        <v>108.34913627448259</v>
      </c>
      <c r="J25" s="4">
        <f t="shared" si="4"/>
        <v>11739.535331426399</v>
      </c>
      <c r="K25" s="4">
        <v>73391.562662501907</v>
      </c>
    </row>
    <row r="26" spans="2:12">
      <c r="B26" s="2">
        <f t="shared" si="0"/>
        <v>2013</v>
      </c>
      <c r="C26" s="2">
        <v>24</v>
      </c>
      <c r="D26" s="4">
        <v>70500</v>
      </c>
      <c r="E26" s="129">
        <f t="shared" si="5"/>
        <v>63092.492813540848</v>
      </c>
      <c r="F26" s="129">
        <f t="shared" si="6"/>
        <v>55389.897224886096</v>
      </c>
      <c r="G26" s="129">
        <f t="shared" si="1"/>
        <v>71102.221228970608</v>
      </c>
      <c r="H26" s="4">
        <f t="shared" si="2"/>
        <v>-602.22122897060763</v>
      </c>
      <c r="I26" s="4">
        <f t="shared" si="3"/>
        <v>602.22122897060763</v>
      </c>
      <c r="J26" s="4">
        <f t="shared" si="4"/>
        <v>362670.408622869</v>
      </c>
      <c r="K26" s="4">
        <v>76802.133027746997</v>
      </c>
    </row>
    <row r="27" spans="2:12">
      <c r="B27" s="2">
        <f t="shared" si="0"/>
        <v>2014</v>
      </c>
      <c r="C27" s="2">
        <v>25</v>
      </c>
      <c r="D27" s="4">
        <v>72000</v>
      </c>
      <c r="E27" s="129">
        <f t="shared" si="5"/>
        <v>65764.74496947859</v>
      </c>
      <c r="F27" s="129">
        <f t="shared" si="6"/>
        <v>58502.35154826384</v>
      </c>
      <c r="G27" s="129">
        <f t="shared" si="1"/>
        <v>74096.200797333353</v>
      </c>
      <c r="H27" s="4">
        <f t="shared" si="2"/>
        <v>-2096.200797333353</v>
      </c>
      <c r="I27" s="4">
        <f t="shared" si="3"/>
        <v>2096.200797333353</v>
      </c>
      <c r="J27" s="4">
        <f t="shared" si="4"/>
        <v>4394057.782740985</v>
      </c>
      <c r="K27" s="4">
        <v>79796.112596109742</v>
      </c>
    </row>
    <row r="28" spans="2:12">
      <c r="B28" s="2">
        <f t="shared" si="0"/>
        <v>2015</v>
      </c>
      <c r="C28" s="2">
        <v>26</v>
      </c>
      <c r="D28" s="4">
        <v>74000</v>
      </c>
      <c r="E28" s="129">
        <f t="shared" si="5"/>
        <v>68235.321478635015</v>
      </c>
      <c r="F28" s="129">
        <f t="shared" si="6"/>
        <v>61422.242527375187</v>
      </c>
      <c r="G28" s="129">
        <f t="shared" si="1"/>
        <v>76139.592714071099</v>
      </c>
      <c r="H28" s="4">
        <f t="shared" si="2"/>
        <v>-2139.5927140710992</v>
      </c>
      <c r="I28" s="4">
        <f t="shared" si="3"/>
        <v>2139.5927140710992</v>
      </c>
      <c r="J28" s="4">
        <f t="shared" si="4"/>
        <v>4577856.9821061324</v>
      </c>
      <c r="K28" s="4">
        <v>81839.504512847489</v>
      </c>
    </row>
    <row r="29" spans="2:12">
      <c r="B29" s="2">
        <f t="shared" si="0"/>
        <v>2016</v>
      </c>
      <c r="C29" s="2">
        <v>27</v>
      </c>
      <c r="D29" s="4">
        <v>77700</v>
      </c>
      <c r="E29" s="129">
        <f t="shared" si="5"/>
        <v>71074.72503504451</v>
      </c>
      <c r="F29" s="129">
        <f t="shared" si="6"/>
        <v>64317.987279675974</v>
      </c>
      <c r="G29" s="129">
        <f t="shared" si="1"/>
        <v>77968.291409006197</v>
      </c>
      <c r="H29" s="4">
        <f t="shared" si="2"/>
        <v>-268.29140900619677</v>
      </c>
      <c r="I29" s="4">
        <f t="shared" si="3"/>
        <v>268.29140900619677</v>
      </c>
      <c r="J29" s="4">
        <f t="shared" si="4"/>
        <v>71980.280146530364</v>
      </c>
      <c r="K29" s="4">
        <v>83668.203207782586</v>
      </c>
    </row>
    <row r="30" spans="2:12">
      <c r="B30" s="2">
        <f t="shared" si="0"/>
        <v>2017</v>
      </c>
      <c r="C30" s="2">
        <v>28</v>
      </c>
      <c r="D30" s="4">
        <v>83140</v>
      </c>
      <c r="E30" s="129">
        <f t="shared" si="5"/>
        <v>74694.307524531148</v>
      </c>
      <c r="F30" s="129">
        <f t="shared" si="6"/>
        <v>67430.883353132522</v>
      </c>
      <c r="G30" s="129">
        <f t="shared" si="1"/>
        <v>80727.207542713877</v>
      </c>
      <c r="H30" s="4">
        <f t="shared" si="2"/>
        <v>2412.792457286123</v>
      </c>
      <c r="I30" s="4">
        <f t="shared" si="3"/>
        <v>2412.792457286123</v>
      </c>
      <c r="J30" s="4">
        <f t="shared" si="4"/>
        <v>5821567.4419368077</v>
      </c>
      <c r="K30" s="4">
        <v>86427.119341490266</v>
      </c>
      <c r="L30" s="6"/>
    </row>
    <row r="31" spans="2:12">
      <c r="B31" s="2">
        <f t="shared" si="0"/>
        <v>2018</v>
      </c>
      <c r="C31" s="2">
        <v>29</v>
      </c>
      <c r="D31" s="4">
        <v>88211</v>
      </c>
      <c r="E31" s="129">
        <f t="shared" si="5"/>
        <v>78749.315267171798</v>
      </c>
      <c r="F31" s="129">
        <f t="shared" si="6"/>
        <v>70826.412927344296</v>
      </c>
      <c r="G31" s="129">
        <f t="shared" si="1"/>
        <v>85070.627769386352</v>
      </c>
      <c r="H31" s="4">
        <f t="shared" si="2"/>
        <v>3140.3722306136478</v>
      </c>
      <c r="I31" s="4">
        <f t="shared" si="3"/>
        <v>3140.3722306136478</v>
      </c>
      <c r="J31" s="4">
        <f t="shared" si="4"/>
        <v>9861937.7468093373</v>
      </c>
      <c r="K31" s="4">
        <v>90770.539568162741</v>
      </c>
      <c r="L31" s="6"/>
    </row>
    <row r="32" spans="2:12">
      <c r="B32" s="2">
        <f t="shared" si="0"/>
        <v>2019</v>
      </c>
      <c r="C32" s="2">
        <v>30</v>
      </c>
      <c r="D32" s="4">
        <v>97032</v>
      </c>
      <c r="E32" s="129">
        <f t="shared" si="5"/>
        <v>84234.120687020244</v>
      </c>
      <c r="F32" s="129">
        <f t="shared" si="6"/>
        <v>74848.725255247075</v>
      </c>
      <c r="G32" s="129">
        <f t="shared" si="1"/>
        <v>90067.747181211103</v>
      </c>
      <c r="H32" s="4">
        <f t="shared" si="2"/>
        <v>6964.2528187888965</v>
      </c>
      <c r="I32" s="4">
        <f t="shared" si="3"/>
        <v>6964.2528187888965</v>
      </c>
      <c r="J32" s="4">
        <f t="shared" si="4"/>
        <v>48500817.324009091</v>
      </c>
      <c r="K32" s="4">
        <v>95767.658979987493</v>
      </c>
      <c r="L32" s="6"/>
    </row>
    <row r="33" spans="2:12">
      <c r="B33" s="2">
        <v>2020</v>
      </c>
      <c r="C33" s="2">
        <v>31</v>
      </c>
      <c r="D33" s="4">
        <v>102854</v>
      </c>
      <c r="E33" s="129">
        <f t="shared" si="5"/>
        <v>89820.084480914171</v>
      </c>
      <c r="F33" s="129">
        <f t="shared" si="6"/>
        <v>79340.133022947193</v>
      </c>
      <c r="G33" s="129">
        <f t="shared" si="1"/>
        <v>97641.828446696236</v>
      </c>
      <c r="H33" s="4">
        <f t="shared" si="2"/>
        <v>5212.1715533037641</v>
      </c>
      <c r="I33" s="4">
        <f t="shared" si="3"/>
        <v>5212.1715533037641</v>
      </c>
      <c r="J33" s="4">
        <f t="shared" si="4"/>
        <v>27166732.301068973</v>
      </c>
      <c r="K33" s="4">
        <v>103341.74024547263</v>
      </c>
      <c r="L33" s="6"/>
    </row>
    <row r="34" spans="2:12" ht="15">
      <c r="B34" s="2">
        <f>B33+1</f>
        <v>2021</v>
      </c>
      <c r="C34" s="2">
        <v>32</v>
      </c>
      <c r="D34" s="4">
        <v>1</v>
      </c>
      <c r="E34" s="128"/>
      <c r="F34" s="128"/>
      <c r="G34" s="127">
        <f>(2+((ALPHA_2*D34)/(1-ALPHA_2)))*$E$33-(1+((ALPHA_2*D34)/(1-ALPHA_2)))*$F$33</f>
        <v>104791.44370658131</v>
      </c>
      <c r="H34" s="4"/>
      <c r="I34" s="4"/>
      <c r="J34" s="4"/>
      <c r="K34" s="127">
        <v>110491.3555053577</v>
      </c>
      <c r="L34" s="15"/>
    </row>
    <row r="35" spans="2:12" ht="15">
      <c r="B35" s="2">
        <f t="shared" ref="B35:B38" si="7">B34+1</f>
        <v>2022</v>
      </c>
      <c r="C35" s="2">
        <v>33</v>
      </c>
      <c r="D35" s="4">
        <v>2</v>
      </c>
      <c r="E35" s="128"/>
      <c r="F35" s="128"/>
      <c r="G35" s="127">
        <f>(2+((ALPHA_2*D35)/(1-ALPHA_2)))*$E$33-(1+((ALPHA_2*D35)/(1-ALPHA_2)))*$F$33</f>
        <v>109282.8514742814</v>
      </c>
      <c r="H35" s="4"/>
      <c r="I35" s="4"/>
      <c r="J35" s="4"/>
      <c r="K35" s="127">
        <v>114982.76327305779</v>
      </c>
      <c r="L35" s="15"/>
    </row>
    <row r="36" spans="2:12" ht="15">
      <c r="B36" s="2">
        <f t="shared" si="7"/>
        <v>2023</v>
      </c>
      <c r="C36" s="2">
        <v>34</v>
      </c>
      <c r="D36" s="4">
        <v>3</v>
      </c>
      <c r="E36" s="128"/>
      <c r="F36" s="128"/>
      <c r="G36" s="127">
        <f>(2+((ALPHA_2*D36)/(1-ALPHA_2)))*$E$33-(1+((ALPHA_2*D36)/(1-ALPHA_2)))*$F$33</f>
        <v>113774.25924198158</v>
      </c>
      <c r="H36" s="4"/>
      <c r="I36" s="4"/>
      <c r="J36" s="4"/>
      <c r="K36" s="127">
        <v>119474.17104075797</v>
      </c>
      <c r="L36" s="15"/>
    </row>
    <row r="37" spans="2:12" ht="15">
      <c r="B37" s="2">
        <f t="shared" si="7"/>
        <v>2024</v>
      </c>
      <c r="C37" s="2">
        <v>35</v>
      </c>
      <c r="D37" s="4">
        <v>4</v>
      </c>
      <c r="E37" s="128"/>
      <c r="F37" s="128"/>
      <c r="G37" s="127">
        <f>(2+((ALPHA_2*D37)/(1-ALPHA_2)))*$E$33-(1+((ALPHA_2*D37)/(1-ALPHA_2)))*$F$33</f>
        <v>118265.66700968167</v>
      </c>
      <c r="H37" s="4"/>
      <c r="I37" s="4"/>
      <c r="J37" s="4"/>
      <c r="K37" s="127">
        <v>123965.57880845806</v>
      </c>
      <c r="L37" s="15"/>
    </row>
    <row r="38" spans="2:12" ht="15">
      <c r="B38" s="2">
        <f t="shared" si="7"/>
        <v>2025</v>
      </c>
      <c r="C38" s="2">
        <v>36</v>
      </c>
      <c r="D38" s="4">
        <v>5</v>
      </c>
      <c r="E38" s="128"/>
      <c r="F38" s="128"/>
      <c r="G38" s="127">
        <f>(2+((ALPHA_2*D38)/(1-ALPHA_2)))*$E$33-(1+((ALPHA_2*D38)/(1-ALPHA_2)))*$F$33</f>
        <v>122757.07477738176</v>
      </c>
      <c r="H38" s="4"/>
      <c r="I38" s="4"/>
      <c r="J38" s="4"/>
      <c r="K38" s="127">
        <v>128456.98657615815</v>
      </c>
      <c r="L38" s="15"/>
    </row>
    <row r="39" spans="2:12" ht="15">
      <c r="B39" s="2"/>
      <c r="C39" s="2"/>
      <c r="D39" s="4"/>
      <c r="E39" s="128"/>
      <c r="F39" s="128"/>
      <c r="G39" s="4"/>
      <c r="H39" s="4"/>
      <c r="I39" s="4"/>
      <c r="J39" s="4"/>
      <c r="K39" s="4"/>
      <c r="L39" s="15"/>
    </row>
    <row r="40" spans="2:12" ht="15">
      <c r="B40" s="133" t="s">
        <v>6</v>
      </c>
      <c r="C40" s="138">
        <v>0.3</v>
      </c>
      <c r="E40" s="128"/>
      <c r="F40" s="128"/>
      <c r="G40" s="133" t="s">
        <v>274</v>
      </c>
      <c r="H40" s="145">
        <f>SUM(H20:H33)</f>
        <v>17671.742081199336</v>
      </c>
      <c r="I40" s="145">
        <f>SUM(I20:I33)</f>
        <v>31501.190193687376</v>
      </c>
      <c r="J40" s="146">
        <f>SUM(J20:J33)</f>
        <v>118400125.77926511</v>
      </c>
      <c r="K40" s="4"/>
      <c r="L40" s="16"/>
    </row>
    <row r="41" spans="2:12" ht="15">
      <c r="B41" s="134" t="s">
        <v>8</v>
      </c>
      <c r="C41" s="136">
        <v>0.01</v>
      </c>
      <c r="E41" s="128"/>
      <c r="F41" s="128"/>
      <c r="G41" s="134" t="s">
        <v>273</v>
      </c>
      <c r="H41" s="147"/>
      <c r="I41" s="147">
        <f>(I40/COUNTA(I20:I33))</f>
        <v>2250.0850138348128</v>
      </c>
      <c r="J41" s="148">
        <f>(J40/COUNTA(J20:J33))</f>
        <v>8457151.8413760792</v>
      </c>
      <c r="K41" s="4"/>
      <c r="L41" s="16"/>
    </row>
    <row r="42" spans="2:12" ht="15">
      <c r="B42" s="135" t="s">
        <v>10</v>
      </c>
      <c r="C42" s="140">
        <v>0.3</v>
      </c>
      <c r="E42" s="128"/>
      <c r="F42" s="128"/>
      <c r="G42" s="135" t="s">
        <v>9</v>
      </c>
      <c r="H42" s="149"/>
      <c r="I42" s="149">
        <f>(1.25*I41)</f>
        <v>2812.6062672935159</v>
      </c>
      <c r="J42" s="150">
        <f>SQRT(J41)</f>
        <v>2908.1182646818338</v>
      </c>
      <c r="K42" s="4"/>
      <c r="L42" s="16"/>
    </row>
    <row r="43" spans="2:12" ht="15">
      <c r="K43" s="5"/>
      <c r="L43" s="16"/>
    </row>
    <row r="45" spans="2:12">
      <c r="C45" s="2"/>
    </row>
    <row r="46" spans="2:12">
      <c r="C46" s="2"/>
    </row>
    <row r="47" spans="2:12">
      <c r="C47" s="2"/>
    </row>
    <row r="48" spans="2:12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</sheetData>
  <pageMargins left="0.75" right="0.75" top="1" bottom="1" header="0" footer="0"/>
  <pageSetup orientation="portrait" horizontalDpi="0" verticalDpi="0" copies="0" r:id="rId1"/>
  <headerFooter alignWithMargins="0"/>
  <ignoredErrors>
    <ignoredError sqref="F7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5B16-C1CE-41B9-9552-6E537CF979CA}">
  <dimension ref="B1:V26"/>
  <sheetViews>
    <sheetView showGridLines="0" zoomScale="70" zoomScaleNormal="70" workbookViewId="0">
      <selection activeCell="T34" sqref="T34"/>
    </sheetView>
  </sheetViews>
  <sheetFormatPr baseColWidth="10" defaultRowHeight="15"/>
  <cols>
    <col min="1" max="1" width="2.7109375" customWidth="1"/>
    <col min="2" max="2" width="42.42578125" bestFit="1" customWidth="1"/>
    <col min="3" max="20" width="16.7109375" customWidth="1"/>
    <col min="21" max="26" width="11" customWidth="1"/>
  </cols>
  <sheetData>
    <row r="1" spans="2:22"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  <c r="Q1" s="50"/>
      <c r="R1" s="50"/>
      <c r="S1" s="50"/>
      <c r="T1" s="50"/>
    </row>
    <row r="2" spans="2:22" ht="20.100000000000001" customHeight="1">
      <c r="B2" s="179" t="s">
        <v>264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2">
      <c r="B3" s="60" t="s">
        <v>193</v>
      </c>
      <c r="C3" s="60">
        <v>2020</v>
      </c>
      <c r="D3" s="125" t="s">
        <v>86</v>
      </c>
      <c r="E3" s="125" t="s">
        <v>87</v>
      </c>
      <c r="F3" s="125" t="s">
        <v>88</v>
      </c>
      <c r="G3" s="125" t="s">
        <v>89</v>
      </c>
      <c r="H3" s="125" t="s">
        <v>90</v>
      </c>
      <c r="I3" s="125" t="s">
        <v>91</v>
      </c>
      <c r="J3" s="125" t="s">
        <v>92</v>
      </c>
      <c r="K3" s="125" t="s">
        <v>93</v>
      </c>
      <c r="L3" s="125" t="s">
        <v>94</v>
      </c>
      <c r="M3" s="125" t="s">
        <v>95</v>
      </c>
      <c r="N3" s="125" t="s">
        <v>96</v>
      </c>
      <c r="O3" s="125" t="s">
        <v>97</v>
      </c>
      <c r="P3" s="60">
        <v>2021</v>
      </c>
      <c r="Q3" s="60">
        <v>2022</v>
      </c>
      <c r="R3" s="60">
        <v>2023</v>
      </c>
      <c r="S3" s="60">
        <v>2024</v>
      </c>
      <c r="T3" s="60">
        <v>2025</v>
      </c>
    </row>
    <row r="4" spans="2:22">
      <c r="B4" s="62" t="s">
        <v>129</v>
      </c>
      <c r="C4" s="64"/>
      <c r="D4" s="65">
        <f t="shared" ref="D4:O4" si="0">D5+D6</f>
        <v>39472603.784525491</v>
      </c>
      <c r="E4" s="65">
        <f t="shared" si="0"/>
        <v>34188999.235957429</v>
      </c>
      <c r="F4" s="65">
        <f t="shared" si="0"/>
        <v>29514102.383520741</v>
      </c>
      <c r="G4" s="65">
        <f t="shared" si="0"/>
        <v>25447913.22721542</v>
      </c>
      <c r="H4" s="65">
        <f t="shared" si="0"/>
        <v>21990431.767041475</v>
      </c>
      <c r="I4" s="65">
        <f t="shared" si="0"/>
        <v>19141658.002998903</v>
      </c>
      <c r="J4" s="65">
        <f t="shared" si="0"/>
        <v>16901591.935087703</v>
      </c>
      <c r="K4" s="65">
        <f t="shared" si="0"/>
        <v>15270233.563307876</v>
      </c>
      <c r="L4" s="65">
        <f t="shared" si="0"/>
        <v>14247582.887659421</v>
      </c>
      <c r="M4" s="65">
        <f t="shared" si="0"/>
        <v>13833639.908142339</v>
      </c>
      <c r="N4" s="65">
        <f t="shared" si="0"/>
        <v>14028404.624756631</v>
      </c>
      <c r="O4" s="65">
        <f t="shared" si="0"/>
        <v>14831877.037502294</v>
      </c>
      <c r="P4" s="65">
        <f>P5+P6</f>
        <v>106430450.35897648</v>
      </c>
      <c r="Q4" s="65">
        <f>Q5+Q6</f>
        <v>145236571.30398637</v>
      </c>
      <c r="R4" s="65">
        <f t="shared" ref="R4:S4" si="1">R5+R6</f>
        <v>194278818.1340968</v>
      </c>
      <c r="S4" s="65">
        <f t="shared" si="1"/>
        <v>239448682.43260354</v>
      </c>
      <c r="T4" s="65">
        <f>T5+T6</f>
        <v>321277187.36356831</v>
      </c>
    </row>
    <row r="5" spans="2:22">
      <c r="B5" s="33" t="s">
        <v>98</v>
      </c>
      <c r="C5" s="31"/>
      <c r="D5" s="31">
        <f>C20</f>
        <v>37037773</v>
      </c>
      <c r="E5" s="31">
        <f t="shared" ref="E5:O5" si="2">D20</f>
        <v>31145460.755300567</v>
      </c>
      <c r="F5" s="31">
        <f t="shared" si="2"/>
        <v>25861856.206732504</v>
      </c>
      <c r="G5" s="31">
        <f t="shared" si="2"/>
        <v>21186959.354295813</v>
      </c>
      <c r="H5" s="31">
        <f t="shared" si="2"/>
        <v>17120770.197990492</v>
      </c>
      <c r="I5" s="31">
        <f t="shared" si="2"/>
        <v>13663288.737816548</v>
      </c>
      <c r="J5" s="31">
        <f t="shared" si="2"/>
        <v>10814514.973773977</v>
      </c>
      <c r="K5" s="31">
        <f t="shared" si="2"/>
        <v>8574448.9058627766</v>
      </c>
      <c r="L5" s="31">
        <f t="shared" si="2"/>
        <v>6943090.5340829492</v>
      </c>
      <c r="M5" s="31">
        <f t="shared" si="2"/>
        <v>5920439.8584344946</v>
      </c>
      <c r="N5" s="31">
        <f t="shared" si="2"/>
        <v>5506496.8789174128</v>
      </c>
      <c r="O5" s="31">
        <f t="shared" si="2"/>
        <v>5701261.5955317039</v>
      </c>
      <c r="P5" s="31">
        <f>C20</f>
        <v>37037773</v>
      </c>
      <c r="Q5" s="31">
        <f>P20</f>
        <v>5277329.5666422099</v>
      </c>
      <c r="R5" s="31">
        <f>Q20</f>
        <v>19958675.269082531</v>
      </c>
      <c r="S5" s="31">
        <f>R20</f>
        <v>29042503.695715852</v>
      </c>
      <c r="T5" s="31">
        <f>S20</f>
        <v>67314797.687577546</v>
      </c>
    </row>
    <row r="6" spans="2:22" s="46" customFormat="1">
      <c r="B6" s="33" t="s">
        <v>73</v>
      </c>
      <c r="C6" s="31" t="s">
        <v>99</v>
      </c>
      <c r="D6" s="31">
        <f>Ventas!E12</f>
        <v>2434830.7845254908</v>
      </c>
      <c r="E6" s="31">
        <f>Ventas!F12</f>
        <v>3043538.4806568637</v>
      </c>
      <c r="F6" s="31">
        <f>Ventas!G12</f>
        <v>3652246.176788236</v>
      </c>
      <c r="G6" s="31">
        <f>Ventas!H12</f>
        <v>4260953.8729196088</v>
      </c>
      <c r="H6" s="31">
        <f>Ventas!I12</f>
        <v>4869661.5690509817</v>
      </c>
      <c r="I6" s="31">
        <f>Ventas!J12</f>
        <v>5478369.2651823545</v>
      </c>
      <c r="J6" s="31">
        <f>Ventas!K12</f>
        <v>6087076.9613137273</v>
      </c>
      <c r="K6" s="31">
        <f>Ventas!L12</f>
        <v>6695784.6574450992</v>
      </c>
      <c r="L6" s="31">
        <f>Ventas!M12</f>
        <v>7304492.353576472</v>
      </c>
      <c r="M6" s="31">
        <f>Ventas!N12</f>
        <v>7913200.0497078449</v>
      </c>
      <c r="N6" s="31">
        <f>Ventas!O12</f>
        <v>8521907.7458392177</v>
      </c>
      <c r="O6" s="31">
        <f>Ventas!P12</f>
        <v>9130615.4419705905</v>
      </c>
      <c r="P6" s="31">
        <f>SUM(D6:O6)</f>
        <v>69392677.358976483</v>
      </c>
      <c r="Q6" s="31">
        <f>Ventas!R12</f>
        <v>139959241.73734415</v>
      </c>
      <c r="R6" s="31">
        <f>Ventas!S12</f>
        <v>174320142.86501426</v>
      </c>
      <c r="S6" s="31">
        <f>Ventas!T12</f>
        <v>210406178.73688769</v>
      </c>
      <c r="T6" s="31">
        <f>Ventas!U12</f>
        <v>253962389.67599079</v>
      </c>
    </row>
    <row r="7" spans="2:22">
      <c r="B7" s="62" t="s">
        <v>130</v>
      </c>
      <c r="C7" s="65">
        <f>SUM(C8:C15)</f>
        <v>35962227</v>
      </c>
      <c r="D7" s="65">
        <f t="shared" ref="D7:O7" si="3">SUM(D8:D15)</f>
        <v>8327143.0292249266</v>
      </c>
      <c r="E7" s="65">
        <f t="shared" si="3"/>
        <v>8327143.0292249266</v>
      </c>
      <c r="F7" s="65">
        <f t="shared" si="3"/>
        <v>8327143.0292249266</v>
      </c>
      <c r="G7" s="65">
        <f t="shared" si="3"/>
        <v>8327143.0292249266</v>
      </c>
      <c r="H7" s="65">
        <f t="shared" si="3"/>
        <v>8327143.0292249266</v>
      </c>
      <c r="I7" s="65">
        <f t="shared" si="3"/>
        <v>8327143.0292249266</v>
      </c>
      <c r="J7" s="65">
        <f t="shared" si="3"/>
        <v>8327143.0292249266</v>
      </c>
      <c r="K7" s="65">
        <f t="shared" si="3"/>
        <v>8327143.0292249266</v>
      </c>
      <c r="L7" s="65">
        <f t="shared" si="3"/>
        <v>8327143.0292249266</v>
      </c>
      <c r="M7" s="65">
        <f t="shared" si="3"/>
        <v>8327143.0292249266</v>
      </c>
      <c r="N7" s="65">
        <f t="shared" si="3"/>
        <v>8327143.0292249266</v>
      </c>
      <c r="O7" s="65">
        <f t="shared" si="3"/>
        <v>8327143.0292249266</v>
      </c>
      <c r="P7" s="65">
        <f>SUM(P8:P15)</f>
        <v>101153120.79233427</v>
      </c>
      <c r="Q7" s="65">
        <f t="shared" ref="Q7:T7" si="4">SUM(Q8:Q15)</f>
        <v>125277896.03490384</v>
      </c>
      <c r="R7" s="65">
        <f t="shared" si="4"/>
        <v>163412188.94081038</v>
      </c>
      <c r="S7" s="65">
        <f t="shared" si="4"/>
        <v>163048707.37981468</v>
      </c>
      <c r="T7" s="65">
        <f t="shared" si="4"/>
        <v>178715063.62858206</v>
      </c>
    </row>
    <row r="8" spans="2:22">
      <c r="B8" s="33" t="s">
        <v>100</v>
      </c>
      <c r="C8" s="31">
        <f>Activos!E21</f>
        <v>28278108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>
        <f>Activos!F21</f>
        <v>1227404.4416351579</v>
      </c>
      <c r="Q8" s="31">
        <f>Activos!G21</f>
        <v>1039061.7267545685</v>
      </c>
      <c r="R8" s="31">
        <f>Activos!H21</f>
        <v>11186526.544246694</v>
      </c>
      <c r="S8" s="31">
        <f>Activos!I21</f>
        <v>1734778.6827616573</v>
      </c>
      <c r="T8" s="31">
        <f>Activos!J21</f>
        <v>7440246.9188604616</v>
      </c>
      <c r="U8" s="51"/>
      <c r="V8" s="51"/>
    </row>
    <row r="9" spans="2:22">
      <c r="B9" s="33" t="s">
        <v>101</v>
      </c>
      <c r="C9" s="31" t="s">
        <v>99</v>
      </c>
      <c r="D9" s="31">
        <f>(Gastos!D38-Gastos!D33)/12</f>
        <v>2327130.3291865536</v>
      </c>
      <c r="E9" s="31">
        <f>D9</f>
        <v>2327130.3291865536</v>
      </c>
      <c r="F9" s="31">
        <f t="shared" ref="F9:O9" si="5">E9</f>
        <v>2327130.3291865536</v>
      </c>
      <c r="G9" s="31">
        <f t="shared" si="5"/>
        <v>2327130.3291865536</v>
      </c>
      <c r="H9" s="31">
        <f t="shared" si="5"/>
        <v>2327130.3291865536</v>
      </c>
      <c r="I9" s="31">
        <f t="shared" si="5"/>
        <v>2327130.3291865536</v>
      </c>
      <c r="J9" s="31">
        <f t="shared" si="5"/>
        <v>2327130.3291865536</v>
      </c>
      <c r="K9" s="31">
        <f t="shared" si="5"/>
        <v>2327130.3291865536</v>
      </c>
      <c r="L9" s="31">
        <f t="shared" si="5"/>
        <v>2327130.3291865536</v>
      </c>
      <c r="M9" s="31">
        <f t="shared" si="5"/>
        <v>2327130.3291865536</v>
      </c>
      <c r="N9" s="31">
        <f t="shared" si="5"/>
        <v>2327130.3291865536</v>
      </c>
      <c r="O9" s="31">
        <f t="shared" si="5"/>
        <v>2327130.3291865536</v>
      </c>
      <c r="P9" s="31">
        <f>SUM(D9:O9)</f>
        <v>27925563.950238649</v>
      </c>
      <c r="Q9" s="31">
        <f>Gastos!E38-Gastos!E33</f>
        <v>29054344.394981027</v>
      </c>
      <c r="R9" s="31">
        <f>Gastos!F38-Gastos!F33</f>
        <v>23010480.698703274</v>
      </c>
      <c r="S9" s="31">
        <f>Gastos!G38-Gastos!G33</f>
        <v>23879687.166489102</v>
      </c>
      <c r="T9" s="31">
        <f>Gastos!H38-Gastos!H33</f>
        <v>24753490.349743515</v>
      </c>
    </row>
    <row r="10" spans="2:22">
      <c r="B10" s="33" t="s">
        <v>102</v>
      </c>
      <c r="C10" s="31" t="s">
        <v>99</v>
      </c>
      <c r="D10" s="31">
        <f>(Gastos!D50-Gastos!D49)/12</f>
        <v>6000012.7000383725</v>
      </c>
      <c r="E10" s="31">
        <f>D10</f>
        <v>6000012.7000383725</v>
      </c>
      <c r="F10" s="31">
        <f t="shared" ref="F10:O10" si="6">E10</f>
        <v>6000012.7000383725</v>
      </c>
      <c r="G10" s="31">
        <f t="shared" si="6"/>
        <v>6000012.7000383725</v>
      </c>
      <c r="H10" s="31">
        <f t="shared" si="6"/>
        <v>6000012.7000383725</v>
      </c>
      <c r="I10" s="31">
        <f t="shared" si="6"/>
        <v>6000012.7000383725</v>
      </c>
      <c r="J10" s="31">
        <f t="shared" si="6"/>
        <v>6000012.7000383725</v>
      </c>
      <c r="K10" s="31">
        <f t="shared" si="6"/>
        <v>6000012.7000383725</v>
      </c>
      <c r="L10" s="31">
        <f t="shared" si="6"/>
        <v>6000012.7000383725</v>
      </c>
      <c r="M10" s="31">
        <f t="shared" si="6"/>
        <v>6000012.7000383725</v>
      </c>
      <c r="N10" s="31">
        <f t="shared" si="6"/>
        <v>6000012.7000383725</v>
      </c>
      <c r="O10" s="31">
        <f t="shared" si="6"/>
        <v>6000012.7000383725</v>
      </c>
      <c r="P10" s="31">
        <f>SUM(D10:O10)</f>
        <v>72000152.400460467</v>
      </c>
      <c r="Q10" s="31">
        <f>Gastos!E50-Gastos!E49</f>
        <v>94891884.1236379</v>
      </c>
      <c r="R10" s="31">
        <f>Gastos!F50-Gastos!F49</f>
        <v>128657531.98292686</v>
      </c>
      <c r="S10" s="31">
        <f>Gastos!G50-Gastos!G49</f>
        <v>136761152.67425349</v>
      </c>
      <c r="T10" s="31">
        <f>Gastos!H50-Gastos!H49</f>
        <v>145708901.2903387</v>
      </c>
    </row>
    <row r="11" spans="2:22">
      <c r="B11" s="33" t="s">
        <v>103</v>
      </c>
      <c r="C11" s="31">
        <f>Gastos!C21</f>
        <v>7684119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2:22" hidden="1">
      <c r="B12" s="33" t="s">
        <v>104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>
        <f>Prestamos!C4</f>
        <v>0</v>
      </c>
      <c r="Q12" s="31">
        <f>Prestamos!D4</f>
        <v>0</v>
      </c>
      <c r="R12" s="31">
        <f>Prestamos!E4</f>
        <v>0</v>
      </c>
      <c r="S12" s="31"/>
      <c r="T12" s="31">
        <v>0</v>
      </c>
    </row>
    <row r="13" spans="2:22" hidden="1">
      <c r="B13" s="33" t="s">
        <v>214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>
        <f>Prestamos!C5</f>
        <v>0</v>
      </c>
      <c r="Q13" s="31">
        <f>Prestamos!D5</f>
        <v>0</v>
      </c>
      <c r="R13" s="31">
        <f>Prestamos!E5</f>
        <v>0</v>
      </c>
      <c r="S13" s="31"/>
      <c r="T13" s="31"/>
    </row>
    <row r="14" spans="2:22">
      <c r="B14" s="33" t="s">
        <v>215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>
        <f>Prestamos!C6</f>
        <v>0</v>
      </c>
      <c r="Q14" s="31">
        <f>Gastos!D33</f>
        <v>292605.78953035083</v>
      </c>
      <c r="R14" s="31">
        <f>Gastos!E33</f>
        <v>557649.71493353997</v>
      </c>
      <c r="S14" s="31">
        <f>Gastos!F33</f>
        <v>673088.85631041671</v>
      </c>
      <c r="T14" s="31">
        <f>Gastos!G33</f>
        <v>812425.06963938556</v>
      </c>
    </row>
    <row r="15" spans="2:22" hidden="1">
      <c r="B15" s="33" t="s">
        <v>105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>
        <f>C15</f>
        <v>0</v>
      </c>
      <c r="Q15" s="31">
        <f t="shared" ref="Q15:T15" si="7">P15</f>
        <v>0</v>
      </c>
      <c r="R15" s="31">
        <f t="shared" si="7"/>
        <v>0</v>
      </c>
      <c r="S15" s="31">
        <f t="shared" si="7"/>
        <v>0</v>
      </c>
      <c r="T15" s="31">
        <f t="shared" si="7"/>
        <v>0</v>
      </c>
    </row>
    <row r="16" spans="2:22">
      <c r="B16" s="62" t="s">
        <v>266</v>
      </c>
      <c r="C16" s="66">
        <f>C4-C7</f>
        <v>-35962227</v>
      </c>
      <c r="D16" s="66">
        <f t="shared" ref="D16:O16" si="8">D4-D7</f>
        <v>31145460.755300567</v>
      </c>
      <c r="E16" s="66">
        <f t="shared" si="8"/>
        <v>25861856.206732504</v>
      </c>
      <c r="F16" s="66">
        <f t="shared" si="8"/>
        <v>21186959.354295813</v>
      </c>
      <c r="G16" s="66">
        <f t="shared" si="8"/>
        <v>17120770.197990492</v>
      </c>
      <c r="H16" s="66">
        <f t="shared" si="8"/>
        <v>13663288.737816548</v>
      </c>
      <c r="I16" s="66">
        <f t="shared" si="8"/>
        <v>10814514.973773977</v>
      </c>
      <c r="J16" s="66">
        <f t="shared" si="8"/>
        <v>8574448.9058627766</v>
      </c>
      <c r="K16" s="66">
        <f t="shared" si="8"/>
        <v>6943090.5340829492</v>
      </c>
      <c r="L16" s="66">
        <f t="shared" si="8"/>
        <v>5920439.8584344946</v>
      </c>
      <c r="M16" s="66">
        <f t="shared" si="8"/>
        <v>5506496.8789174128</v>
      </c>
      <c r="N16" s="66">
        <f t="shared" si="8"/>
        <v>5701261.5955317039</v>
      </c>
      <c r="O16" s="66">
        <f t="shared" si="8"/>
        <v>6504734.0082773678</v>
      </c>
      <c r="P16" s="66">
        <f>P4-P7</f>
        <v>5277329.5666422099</v>
      </c>
      <c r="Q16" s="66">
        <f t="shared" ref="Q16:T16" si="9">Q4-Q7</f>
        <v>19958675.269082531</v>
      </c>
      <c r="R16" s="66">
        <f t="shared" si="9"/>
        <v>30866629.193286419</v>
      </c>
      <c r="S16" s="66">
        <f t="shared" si="9"/>
        <v>76399975.052788854</v>
      </c>
      <c r="T16" s="66">
        <f t="shared" si="9"/>
        <v>142562123.73498625</v>
      </c>
    </row>
    <row r="17" spans="2:20">
      <c r="B17" s="33" t="s">
        <v>106</v>
      </c>
      <c r="C17" s="31">
        <v>73000000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>
        <f>SUM(D17:O17)</f>
        <v>0</v>
      </c>
      <c r="Q17" s="31"/>
      <c r="R17" s="31"/>
      <c r="S17" s="31"/>
      <c r="T17" s="31"/>
    </row>
    <row r="18" spans="2:20">
      <c r="B18" s="33" t="s">
        <v>107</v>
      </c>
      <c r="C18" s="31">
        <v>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>
        <f>SUM(D18:O18)</f>
        <v>0</v>
      </c>
      <c r="Q18" s="31">
        <v>0</v>
      </c>
      <c r="R18" s="31">
        <v>0</v>
      </c>
      <c r="S18" s="31">
        <v>0</v>
      </c>
      <c r="T18" s="31">
        <v>0</v>
      </c>
    </row>
    <row r="19" spans="2:20">
      <c r="B19" s="33" t="s">
        <v>108</v>
      </c>
      <c r="C19" s="31">
        <v>0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>
        <f>Datos!E41*'P&amp;G'!C12</f>
        <v>0</v>
      </c>
      <c r="Q19" s="31">
        <f>Datos!F41*'P&amp;G'!D12</f>
        <v>0</v>
      </c>
      <c r="R19" s="31">
        <f>Datos!G41*'P&amp;G'!E12</f>
        <v>1824125.4975705685</v>
      </c>
      <c r="S19" s="31">
        <f>Datos!H41*'P&amp;G'!F12</f>
        <v>9085177.3652113136</v>
      </c>
      <c r="T19" s="31">
        <f>Datos!I41*'P&amp;G'!G12</f>
        <v>23889077.733730156</v>
      </c>
    </row>
    <row r="20" spans="2:20">
      <c r="B20" s="62" t="s">
        <v>262</v>
      </c>
      <c r="C20" s="37">
        <f>IF(C16+C17+C18&gt;=Equilibrio!C19,(C16+C17+C18),"Falta caja")</f>
        <v>37037773</v>
      </c>
      <c r="D20" s="37">
        <f>IF(D16+D17+D18-D19&gt;=Equilibrio!$D$19,(D16+D17+D18-D19),"Falta caja")</f>
        <v>31145460.755300567</v>
      </c>
      <c r="E20" s="37">
        <f>IF(E16+E17+E18-E19&gt;=Equilibrio!$D$19,(E16+E17+E18-E19),"Falta caja")</f>
        <v>25861856.206732504</v>
      </c>
      <c r="F20" s="37">
        <f>IF(F16+F17+F18-F19&gt;=Equilibrio!$D$19,(F16+F17+F18-F19),"Falta caja")</f>
        <v>21186959.354295813</v>
      </c>
      <c r="G20" s="37">
        <f>IF(G16+G17+G18-G19&gt;=Equilibrio!$D$19,(G16+G17+G18-G19),"Falta caja")</f>
        <v>17120770.197990492</v>
      </c>
      <c r="H20" s="37">
        <f>IF(H16+H17+H18-H19&gt;=Equilibrio!$D$19,(H16+H17+H18-H19),"Falta caja")</f>
        <v>13663288.737816548</v>
      </c>
      <c r="I20" s="37">
        <f>IF(I16+I17+I18-I19&gt;=Equilibrio!$D$19,(I16+I17+I18-I19),"Falta caja")</f>
        <v>10814514.973773977</v>
      </c>
      <c r="J20" s="37">
        <f>IF(J16+J17+J18-J19&gt;=Equilibrio!$D$19,(J16+J17+J18-J19),"Falta caja")</f>
        <v>8574448.9058627766</v>
      </c>
      <c r="K20" s="37">
        <f>IF(K16+K17+K18-K19&gt;=Equilibrio!$D$19,(K16+K17+K18-K19),"Falta caja")</f>
        <v>6943090.5340829492</v>
      </c>
      <c r="L20" s="37">
        <f>IF(L16+L17+L18-L19&gt;=Equilibrio!$D$19,(L16+L17+L18-L19),"Falta caja")</f>
        <v>5920439.8584344946</v>
      </c>
      <c r="M20" s="37">
        <f>IF(M16+M17+M18-M19&gt;=Equilibrio!$D$19,(M16+M17+M18-M19),"Falta caja")</f>
        <v>5506496.8789174128</v>
      </c>
      <c r="N20" s="37">
        <f>IF(N16+N17+N18-N19&gt;=Equilibrio!$D$19,(N16+N17+N18-N19),"Falta caja")</f>
        <v>5701261.5955317039</v>
      </c>
      <c r="O20" s="37">
        <f>IF(O16+O17+O18-O19&gt;=Equilibrio!$D$19,(O16+O17+O18-O19),"Falta caja")</f>
        <v>6504734.0082773678</v>
      </c>
      <c r="P20" s="37">
        <f>IF(P16+P17+P18-P19&gt;=Equilibrio!$D$19,(P16+P17+P18-P19),"Falta caja")</f>
        <v>5277329.5666422099</v>
      </c>
      <c r="Q20" s="37">
        <f>IF(Q16+Q17+Q18-Q19&gt;=Equilibrio!E19,(Q16+Q17+Q18-Q19),"Falta caja")</f>
        <v>19958675.269082531</v>
      </c>
      <c r="R20" s="37">
        <f>IF(R16+R17+R18-R19&gt;=Equilibrio!F19,(R16+R17+R18-R19),"Falta caja")</f>
        <v>29042503.695715852</v>
      </c>
      <c r="S20" s="37">
        <f>IF(S16+S17+S18-S19&gt;=Equilibrio!G19,(S16+S17+S18-S19),"Falta caja")</f>
        <v>67314797.687577546</v>
      </c>
      <c r="T20" s="37">
        <f>IF(T16+T17+T18-T19&gt;=Equilibrio!H19,(T16+T17+T18-T19),"Falta caja")</f>
        <v>118673046.00125609</v>
      </c>
    </row>
    <row r="21" spans="2:20"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7"/>
      <c r="Q21" s="67"/>
      <c r="R21" s="67"/>
      <c r="S21" s="67"/>
      <c r="T21" s="67"/>
    </row>
    <row r="22" spans="2:20">
      <c r="B22" s="47"/>
      <c r="C22" s="47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47"/>
      <c r="Q22" s="47"/>
      <c r="R22" s="47"/>
      <c r="S22" s="47"/>
      <c r="T22" s="47"/>
    </row>
    <row r="24" spans="2:20"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</row>
    <row r="25" spans="2:20">
      <c r="O25" s="27"/>
    </row>
    <row r="26" spans="2:20"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</sheetData>
  <mergeCells count="1">
    <mergeCell ref="B2:T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030E-5A22-466A-A913-C1D03BF85CDB}">
  <dimension ref="B1:G36"/>
  <sheetViews>
    <sheetView showGridLines="0" zoomScale="70" zoomScaleNormal="70" workbookViewId="0">
      <selection activeCell="C4" sqref="C4"/>
    </sheetView>
  </sheetViews>
  <sheetFormatPr baseColWidth="10" defaultRowHeight="15"/>
  <cols>
    <col min="1" max="1" width="2.7109375" customWidth="1"/>
    <col min="2" max="2" width="35.5703125" bestFit="1" customWidth="1"/>
    <col min="3" max="7" width="18.7109375" customWidth="1"/>
  </cols>
  <sheetData>
    <row r="1" spans="2:7" ht="12.95" customHeight="1"/>
    <row r="2" spans="2:7" s="92" customFormat="1" ht="20.100000000000001" customHeight="1">
      <c r="B2" s="180" t="s">
        <v>148</v>
      </c>
      <c r="C2" s="180"/>
      <c r="D2" s="180"/>
      <c r="E2" s="180"/>
      <c r="F2" s="180"/>
      <c r="G2" s="180"/>
    </row>
    <row r="3" spans="2:7" ht="20.100000000000001" customHeight="1">
      <c r="B3" s="76" t="s">
        <v>193</v>
      </c>
      <c r="C3" s="52">
        <v>2021</v>
      </c>
      <c r="D3" s="52">
        <v>2022</v>
      </c>
      <c r="E3" s="52">
        <v>2023</v>
      </c>
      <c r="F3" s="52">
        <v>2024</v>
      </c>
      <c r="G3" s="52">
        <v>2025</v>
      </c>
    </row>
    <row r="4" spans="2:7">
      <c r="B4" s="33" t="s">
        <v>257</v>
      </c>
      <c r="C4" s="31">
        <f>Ventas!Q9</f>
        <v>77102974.843307212</v>
      </c>
      <c r="D4" s="31">
        <f>Ventas!R9</f>
        <v>146943271.39223716</v>
      </c>
      <c r="E4" s="31">
        <f>Ventas!S9</f>
        <v>177362017.4731006</v>
      </c>
      <c r="F4" s="31">
        <f>Ventas!T9</f>
        <v>214077752.2106418</v>
      </c>
      <c r="G4" s="31">
        <f>Ventas!U9</f>
        <v>258394016.06102955</v>
      </c>
    </row>
    <row r="5" spans="2:7">
      <c r="B5" s="33" t="s">
        <v>110</v>
      </c>
      <c r="C5" s="31">
        <f>Gastos!D38</f>
        <v>28218169.739768993</v>
      </c>
      <c r="D5" s="31">
        <f>Gastos!E38</f>
        <v>29611994.109914567</v>
      </c>
      <c r="E5" s="31">
        <f>Gastos!F38</f>
        <v>23683569.55501369</v>
      </c>
      <c r="F5" s="31">
        <f>Gastos!G38</f>
        <v>24692112.236128487</v>
      </c>
      <c r="G5" s="31">
        <f>Gastos!H38</f>
        <v>25734095.640695121</v>
      </c>
    </row>
    <row r="6" spans="2:7">
      <c r="B6" s="33" t="s">
        <v>138</v>
      </c>
      <c r="C6" s="31">
        <f>Gastos!D50</f>
        <v>78206423.638555706</v>
      </c>
      <c r="D6" s="31">
        <f>Gastos!E50</f>
        <v>101390824.10308506</v>
      </c>
      <c r="E6" s="31">
        <f>Gastos!F50</f>
        <v>135437192.94238123</v>
      </c>
      <c r="F6" s="31">
        <f>Gastos!G50</f>
        <v>143959753.14845675</v>
      </c>
      <c r="G6" s="31">
        <f>Gastos!H50</f>
        <v>153029661.30790058</v>
      </c>
    </row>
    <row r="7" spans="2:7">
      <c r="B7" s="33" t="s">
        <v>149</v>
      </c>
      <c r="C7" s="31">
        <f>Gastos!C21</f>
        <v>7684119</v>
      </c>
      <c r="D7" s="31">
        <f>Gastos!D21</f>
        <v>0</v>
      </c>
      <c r="E7" s="31">
        <f>Gastos!E21</f>
        <v>0</v>
      </c>
      <c r="F7" s="31">
        <f>Gastos!F21</f>
        <v>0</v>
      </c>
      <c r="G7" s="31">
        <f>Gastos!G21</f>
        <v>0</v>
      </c>
    </row>
    <row r="8" spans="2:7" ht="18" customHeight="1">
      <c r="B8" s="62" t="s">
        <v>255</v>
      </c>
      <c r="C8" s="77">
        <f>C4-C5-C6-C7</f>
        <v>-37005737.53501749</v>
      </c>
      <c r="D8" s="77">
        <f t="shared" ref="D8:G8" si="0">D4-D5-D6-D7</f>
        <v>15940453.17923753</v>
      </c>
      <c r="E8" s="77">
        <f t="shared" si="0"/>
        <v>18241254.975705683</v>
      </c>
      <c r="F8" s="77">
        <f t="shared" si="0"/>
        <v>45425886.82605657</v>
      </c>
      <c r="G8" s="77">
        <f t="shared" si="0"/>
        <v>79630259.112433851</v>
      </c>
    </row>
    <row r="9" spans="2:7">
      <c r="B9" s="33" t="s">
        <v>150</v>
      </c>
      <c r="C9" s="31">
        <f>'Flujo de efectivo'!Q12</f>
        <v>0</v>
      </c>
      <c r="D9" s="31">
        <f>'Flujo de efectivo'!R12</f>
        <v>0</v>
      </c>
      <c r="E9" s="31">
        <f>'Flujo de efectivo'!S12</f>
        <v>0</v>
      </c>
      <c r="F9" s="31">
        <f>'Flujo de efectivo'!T12</f>
        <v>0</v>
      </c>
      <c r="G9" s="31">
        <f>'Flujo de efectivo'!U12</f>
        <v>0</v>
      </c>
    </row>
    <row r="10" spans="2:7" ht="18" customHeight="1">
      <c r="B10" s="104" t="s">
        <v>256</v>
      </c>
      <c r="C10" s="67">
        <f>C8-C9</f>
        <v>-37005737.53501749</v>
      </c>
      <c r="D10" s="67">
        <f t="shared" ref="D10:G10" si="1">D8-D9</f>
        <v>15940453.17923753</v>
      </c>
      <c r="E10" s="67">
        <f t="shared" si="1"/>
        <v>18241254.975705683</v>
      </c>
      <c r="F10" s="67">
        <f t="shared" si="1"/>
        <v>45425886.82605657</v>
      </c>
      <c r="G10" s="67">
        <f t="shared" si="1"/>
        <v>79630259.112433851</v>
      </c>
    </row>
    <row r="11" spans="2:7">
      <c r="B11" s="33" t="s">
        <v>151</v>
      </c>
      <c r="C11" s="117">
        <f>C10*Datos!E26</f>
        <v>0</v>
      </c>
      <c r="D11" s="117">
        <f>D10*Datos!F26</f>
        <v>0</v>
      </c>
      <c r="E11" s="117">
        <f>E10*Datos!G26</f>
        <v>0</v>
      </c>
      <c r="F11" s="117">
        <f>F10*Datos!H26</f>
        <v>0</v>
      </c>
      <c r="G11" s="117">
        <f>G10*Datos!I26</f>
        <v>0</v>
      </c>
    </row>
    <row r="12" spans="2:7" ht="18" customHeight="1">
      <c r="B12" s="104" t="s">
        <v>258</v>
      </c>
      <c r="C12" s="67">
        <f t="shared" ref="C12:G12" si="2">C10-C11</f>
        <v>-37005737.53501749</v>
      </c>
      <c r="D12" s="67">
        <f t="shared" si="2"/>
        <v>15940453.17923753</v>
      </c>
      <c r="E12" s="67">
        <f t="shared" si="2"/>
        <v>18241254.975705683</v>
      </c>
      <c r="F12" s="67">
        <f t="shared" si="2"/>
        <v>45425886.82605657</v>
      </c>
      <c r="G12" s="67">
        <f t="shared" si="2"/>
        <v>79630259.112433851</v>
      </c>
    </row>
    <row r="14" spans="2:7">
      <c r="B14" s="180" t="s">
        <v>234</v>
      </c>
      <c r="C14" s="180"/>
      <c r="D14" s="180"/>
      <c r="E14" s="180"/>
      <c r="F14" s="180"/>
      <c r="G14" s="180"/>
    </row>
    <row r="15" spans="2:7">
      <c r="B15" s="76" t="s">
        <v>193</v>
      </c>
      <c r="C15" s="52">
        <v>2021</v>
      </c>
      <c r="D15" s="52">
        <v>2022</v>
      </c>
      <c r="E15" s="52">
        <v>2023</v>
      </c>
      <c r="F15" s="52">
        <v>2024</v>
      </c>
      <c r="G15" s="52">
        <v>2025</v>
      </c>
    </row>
    <row r="16" spans="2:7">
      <c r="B16" s="33" t="s">
        <v>257</v>
      </c>
      <c r="C16" s="21"/>
      <c r="D16" s="21"/>
      <c r="E16" s="21"/>
      <c r="F16" s="21"/>
      <c r="G16" s="21"/>
    </row>
    <row r="17" spans="2:7">
      <c r="B17" s="33" t="s">
        <v>110</v>
      </c>
      <c r="C17" s="109">
        <f>C5/C4</f>
        <v>0.36598029838816809</v>
      </c>
      <c r="D17" s="109">
        <f t="shared" ref="D17:G17" si="3">D5/D4</f>
        <v>0.20151990512631893</v>
      </c>
      <c r="E17" s="109">
        <f t="shared" si="3"/>
        <v>0.13353236443989835</v>
      </c>
      <c r="F17" s="109">
        <f t="shared" si="3"/>
        <v>0.11534179512419714</v>
      </c>
      <c r="G17" s="109">
        <f t="shared" si="3"/>
        <v>9.9592459736440014E-2</v>
      </c>
    </row>
    <row r="18" spans="2:7">
      <c r="B18" s="33" t="s">
        <v>138</v>
      </c>
      <c r="C18" s="109">
        <f>C6/C4</f>
        <v>1.0143113647364577</v>
      </c>
      <c r="D18" s="109">
        <f t="shared" ref="D18:G18" si="4">D6/D4</f>
        <v>0.68999977435129711</v>
      </c>
      <c r="E18" s="109">
        <f t="shared" si="4"/>
        <v>0.76362005164336921</v>
      </c>
      <c r="F18" s="109">
        <f t="shared" si="4"/>
        <v>0.67246480151196442</v>
      </c>
      <c r="G18" s="109">
        <f t="shared" si="4"/>
        <v>0.59223376624850632</v>
      </c>
    </row>
    <row r="19" spans="2:7">
      <c r="B19" s="33" t="s">
        <v>149</v>
      </c>
      <c r="C19" s="109">
        <f>C7/C4</f>
        <v>9.9660473744574415E-2</v>
      </c>
      <c r="D19" s="109">
        <f t="shared" ref="D19:G19" si="5">D7/D4</f>
        <v>0</v>
      </c>
      <c r="E19" s="109">
        <f t="shared" si="5"/>
        <v>0</v>
      </c>
      <c r="F19" s="109">
        <f t="shared" si="5"/>
        <v>0</v>
      </c>
      <c r="G19" s="109">
        <f t="shared" si="5"/>
        <v>0</v>
      </c>
    </row>
    <row r="20" spans="2:7">
      <c r="B20" s="62" t="s">
        <v>255</v>
      </c>
      <c r="C20" s="110">
        <f>C8/C4</f>
        <v>-0.4799521368692003</v>
      </c>
      <c r="D20" s="110">
        <f t="shared" ref="D20:G20" si="6">D8/D4</f>
        <v>0.10848032052238389</v>
      </c>
      <c r="E20" s="110">
        <f t="shared" si="6"/>
        <v>0.10284758391673246</v>
      </c>
      <c r="F20" s="110">
        <f t="shared" si="6"/>
        <v>0.21219340336383843</v>
      </c>
      <c r="G20" s="110">
        <f t="shared" si="6"/>
        <v>0.30817377401505358</v>
      </c>
    </row>
    <row r="21" spans="2:7">
      <c r="B21" s="33" t="s">
        <v>150</v>
      </c>
      <c r="C21" s="109">
        <f>C9/C4</f>
        <v>0</v>
      </c>
      <c r="D21" s="109">
        <f t="shared" ref="D21:G21" si="7">D9/D4</f>
        <v>0</v>
      </c>
      <c r="E21" s="109">
        <f t="shared" si="7"/>
        <v>0</v>
      </c>
      <c r="F21" s="109">
        <f t="shared" si="7"/>
        <v>0</v>
      </c>
      <c r="G21" s="109">
        <f t="shared" si="7"/>
        <v>0</v>
      </c>
    </row>
    <row r="22" spans="2:7">
      <c r="B22" s="104" t="s">
        <v>256</v>
      </c>
      <c r="C22" s="110">
        <f>C10/C4</f>
        <v>-0.4799521368692003</v>
      </c>
      <c r="D22" s="110">
        <f t="shared" ref="D22:G22" si="8">D10/D4</f>
        <v>0.10848032052238389</v>
      </c>
      <c r="E22" s="110">
        <f t="shared" si="8"/>
        <v>0.10284758391673246</v>
      </c>
      <c r="F22" s="110">
        <f t="shared" si="8"/>
        <v>0.21219340336383843</v>
      </c>
      <c r="G22" s="110">
        <f t="shared" si="8"/>
        <v>0.30817377401505358</v>
      </c>
    </row>
    <row r="23" spans="2:7">
      <c r="B23" s="33" t="s">
        <v>151</v>
      </c>
      <c r="C23" s="109">
        <f>C11/C4</f>
        <v>0</v>
      </c>
      <c r="D23" s="109">
        <f t="shared" ref="D23:G23" si="9">D11/D4</f>
        <v>0</v>
      </c>
      <c r="E23" s="109">
        <f t="shared" si="9"/>
        <v>0</v>
      </c>
      <c r="F23" s="109">
        <f t="shared" si="9"/>
        <v>0</v>
      </c>
      <c r="G23" s="109">
        <f t="shared" si="9"/>
        <v>0</v>
      </c>
    </row>
    <row r="24" spans="2:7">
      <c r="B24" s="104" t="s">
        <v>258</v>
      </c>
      <c r="C24" s="110">
        <f>C12/C4</f>
        <v>-0.4799521368692003</v>
      </c>
      <c r="D24" s="110">
        <f t="shared" ref="D24:G24" si="10">D12/D4</f>
        <v>0.10848032052238389</v>
      </c>
      <c r="E24" s="110">
        <f t="shared" si="10"/>
        <v>0.10284758391673246</v>
      </c>
      <c r="F24" s="110">
        <f t="shared" si="10"/>
        <v>0.21219340336383843</v>
      </c>
      <c r="G24" s="110">
        <f t="shared" si="10"/>
        <v>0.30817377401505358</v>
      </c>
    </row>
    <row r="26" spans="2:7">
      <c r="B26" s="180" t="s">
        <v>259</v>
      </c>
      <c r="C26" s="180"/>
      <c r="D26" s="180"/>
      <c r="E26" s="180"/>
      <c r="F26" s="180"/>
      <c r="G26" s="180"/>
    </row>
    <row r="27" spans="2:7">
      <c r="B27" s="76" t="s">
        <v>193</v>
      </c>
      <c r="C27" s="52" t="s">
        <v>236</v>
      </c>
      <c r="D27" s="52" t="s">
        <v>237</v>
      </c>
      <c r="E27" s="52" t="s">
        <v>238</v>
      </c>
      <c r="F27" s="52" t="s">
        <v>239</v>
      </c>
      <c r="G27" s="52" t="s">
        <v>240</v>
      </c>
    </row>
    <row r="28" spans="2:7">
      <c r="B28" s="33" t="s">
        <v>257</v>
      </c>
      <c r="C28" s="21"/>
      <c r="D28" s="109">
        <f>(D4-C4)/C4</f>
        <v>0.90580547236813014</v>
      </c>
      <c r="E28" s="109">
        <f t="shared" ref="E28:G28" si="11">(E4-D4)/D4</f>
        <v>0.20701013249981606</v>
      </c>
      <c r="F28" s="109">
        <f t="shared" si="11"/>
        <v>0.20701013249981579</v>
      </c>
      <c r="G28" s="109">
        <f t="shared" si="11"/>
        <v>0.20701013249981606</v>
      </c>
    </row>
    <row r="29" spans="2:7">
      <c r="B29" s="33" t="s">
        <v>110</v>
      </c>
      <c r="C29" s="109"/>
      <c r="D29" s="109">
        <f t="shared" ref="D29:G36" si="12">(D5-C5)/C5</f>
        <v>4.9394570342427342E-2</v>
      </c>
      <c r="E29" s="109">
        <f t="shared" si="12"/>
        <v>-0.2002034896027467</v>
      </c>
      <c r="F29" s="109">
        <f t="shared" si="12"/>
        <v>4.2584065665105503E-2</v>
      </c>
      <c r="G29" s="109">
        <f t="shared" si="12"/>
        <v>4.2199038891539101E-2</v>
      </c>
    </row>
    <row r="30" spans="2:7">
      <c r="B30" s="33" t="s">
        <v>138</v>
      </c>
      <c r="C30" s="109"/>
      <c r="D30" s="109">
        <f t="shared" si="12"/>
        <v>0.2964513576490852</v>
      </c>
      <c r="E30" s="109">
        <f t="shared" si="12"/>
        <v>0.33579339294728383</v>
      </c>
      <c r="F30" s="109">
        <f t="shared" si="12"/>
        <v>6.2926290931777165E-2</v>
      </c>
      <c r="G30" s="109">
        <f t="shared" si="12"/>
        <v>6.3003082188468271E-2</v>
      </c>
    </row>
    <row r="31" spans="2:7">
      <c r="B31" s="33" t="s">
        <v>149</v>
      </c>
      <c r="C31" s="109"/>
      <c r="D31" s="109">
        <f t="shared" si="12"/>
        <v>-1</v>
      </c>
      <c r="E31" s="109"/>
      <c r="F31" s="109"/>
      <c r="G31" s="109"/>
    </row>
    <row r="32" spans="2:7">
      <c r="B32" s="62" t="s">
        <v>255</v>
      </c>
      <c r="C32" s="110"/>
      <c r="D32" s="110">
        <f t="shared" si="12"/>
        <v>-1.4307562621648475</v>
      </c>
      <c r="E32" s="110">
        <f t="shared" si="12"/>
        <v>0.14433728894639911</v>
      </c>
      <c r="F32" s="110">
        <f t="shared" si="12"/>
        <v>1.4902829814372034</v>
      </c>
      <c r="G32" s="110">
        <f t="shared" si="12"/>
        <v>0.75297093081201971</v>
      </c>
    </row>
    <row r="33" spans="2:7">
      <c r="B33" s="33" t="s">
        <v>150</v>
      </c>
      <c r="C33" s="109"/>
      <c r="D33" s="109"/>
      <c r="E33" s="109"/>
      <c r="F33" s="109"/>
      <c r="G33" s="109"/>
    </row>
    <row r="34" spans="2:7">
      <c r="B34" s="104" t="s">
        <v>256</v>
      </c>
      <c r="C34" s="110"/>
      <c r="D34" s="110">
        <f t="shared" si="12"/>
        <v>-1.4307562621648475</v>
      </c>
      <c r="E34" s="110">
        <f t="shared" si="12"/>
        <v>0.14433728894639911</v>
      </c>
      <c r="F34" s="110">
        <f t="shared" si="12"/>
        <v>1.4902829814372034</v>
      </c>
      <c r="G34" s="110">
        <f t="shared" si="12"/>
        <v>0.75297093081201971</v>
      </c>
    </row>
    <row r="35" spans="2:7">
      <c r="B35" s="33" t="s">
        <v>151</v>
      </c>
      <c r="C35" s="109"/>
      <c r="D35" s="109"/>
      <c r="E35" s="109"/>
      <c r="F35" s="109"/>
      <c r="G35" s="109"/>
    </row>
    <row r="36" spans="2:7">
      <c r="B36" s="104" t="s">
        <v>258</v>
      </c>
      <c r="C36" s="110"/>
      <c r="D36" s="110">
        <f t="shared" si="12"/>
        <v>-1.4307562621648475</v>
      </c>
      <c r="E36" s="110">
        <f t="shared" si="12"/>
        <v>0.14433728894639911</v>
      </c>
      <c r="F36" s="110">
        <f t="shared" si="12"/>
        <v>1.4902829814372034</v>
      </c>
      <c r="G36" s="110">
        <f t="shared" si="12"/>
        <v>0.75297093081201971</v>
      </c>
    </row>
  </sheetData>
  <mergeCells count="3">
    <mergeCell ref="B2:G2"/>
    <mergeCell ref="B14:G14"/>
    <mergeCell ref="B26:G26"/>
  </mergeCells>
  <pageMargins left="0.7" right="0.7" top="0.75" bottom="0.75" header="0.3" footer="0.3"/>
  <ignoredErrors>
    <ignoredError sqref="C11:G11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F8E0-9A27-422D-98D8-610FFCF39DC8}">
  <dimension ref="B1:X61"/>
  <sheetViews>
    <sheetView showGridLines="0" zoomScale="70" zoomScaleNormal="70" workbookViewId="0">
      <selection activeCell="E25" sqref="E25"/>
    </sheetView>
  </sheetViews>
  <sheetFormatPr baseColWidth="10" defaultRowHeight="15"/>
  <cols>
    <col min="1" max="1" width="2.7109375" customWidth="1"/>
    <col min="2" max="2" width="36.42578125" bestFit="1" customWidth="1"/>
    <col min="3" max="8" width="18.7109375" customWidth="1"/>
    <col min="10" max="10" width="34.28515625" bestFit="1" customWidth="1"/>
    <col min="11" max="11" width="15.7109375" style="107" customWidth="1"/>
    <col min="12" max="16" width="15.7109375" customWidth="1"/>
  </cols>
  <sheetData>
    <row r="1" spans="2:24" ht="12.95" customHeight="1"/>
    <row r="2" spans="2:24" s="8" customFormat="1" ht="24.95" customHeight="1">
      <c r="B2" s="181" t="s">
        <v>216</v>
      </c>
      <c r="C2" s="181"/>
      <c r="D2" s="181"/>
      <c r="E2" s="181"/>
      <c r="F2" s="181"/>
      <c r="G2" s="181"/>
      <c r="H2" s="181"/>
      <c r="J2" s="181" t="s">
        <v>241</v>
      </c>
      <c r="K2" s="181"/>
      <c r="L2" s="181"/>
      <c r="M2" s="181"/>
      <c r="N2" s="181"/>
      <c r="O2" s="181"/>
      <c r="P2" s="181"/>
      <c r="R2" s="172"/>
      <c r="S2" s="172"/>
      <c r="T2" s="172"/>
      <c r="U2" s="172"/>
      <c r="V2" s="172"/>
      <c r="W2" s="172"/>
      <c r="X2" s="172"/>
    </row>
    <row r="3" spans="2:24" ht="20.100000000000001" customHeight="1">
      <c r="B3" s="76" t="s">
        <v>193</v>
      </c>
      <c r="C3" s="52">
        <v>2020</v>
      </c>
      <c r="D3" s="52">
        <v>2021</v>
      </c>
      <c r="E3" s="52">
        <v>2022</v>
      </c>
      <c r="F3" s="52">
        <v>2023</v>
      </c>
      <c r="G3" s="52">
        <v>2024</v>
      </c>
      <c r="H3" s="52">
        <v>2025</v>
      </c>
      <c r="J3" s="76" t="s">
        <v>193</v>
      </c>
      <c r="K3" s="52">
        <v>2020</v>
      </c>
      <c r="L3" s="52">
        <v>2021</v>
      </c>
      <c r="M3" s="52">
        <v>2022</v>
      </c>
      <c r="N3" s="52">
        <v>2023</v>
      </c>
      <c r="O3" s="52">
        <v>2024</v>
      </c>
      <c r="P3" s="52">
        <v>2025</v>
      </c>
    </row>
    <row r="4" spans="2:24" s="39" customFormat="1" ht="20.100000000000001" customHeight="1">
      <c r="B4" s="62" t="s">
        <v>152</v>
      </c>
      <c r="C4" s="108"/>
      <c r="D4" s="108"/>
      <c r="E4" s="108"/>
      <c r="F4" s="108"/>
      <c r="G4" s="108"/>
      <c r="H4" s="108"/>
      <c r="J4" s="62" t="s">
        <v>243</v>
      </c>
      <c r="K4" s="112"/>
      <c r="L4" s="113"/>
      <c r="M4" s="113"/>
      <c r="N4" s="113"/>
      <c r="O4" s="113"/>
      <c r="P4" s="113"/>
    </row>
    <row r="5" spans="2:24" ht="15" customHeight="1">
      <c r="B5" s="62" t="s">
        <v>218</v>
      </c>
      <c r="C5" s="37">
        <f>C6+C7</f>
        <v>37037773</v>
      </c>
      <c r="D5" s="37">
        <f t="shared" ref="D5:H5" si="0">D6+D7</f>
        <v>12987627.050972931</v>
      </c>
      <c r="E5" s="37">
        <f t="shared" si="0"/>
        <v>34653002.408306248</v>
      </c>
      <c r="F5" s="37">
        <f t="shared" si="0"/>
        <v>46778705.443025917</v>
      </c>
      <c r="G5" s="37">
        <f t="shared" si="0"/>
        <v>88722572.908641726</v>
      </c>
      <c r="H5" s="37">
        <f t="shared" si="0"/>
        <v>144512447.60735905</v>
      </c>
      <c r="J5" s="33" t="s">
        <v>244</v>
      </c>
      <c r="K5" s="118"/>
      <c r="L5" s="119">
        <f>D5/D16</f>
        <v>44.386090486517105</v>
      </c>
      <c r="M5" s="119">
        <f>E5/E16</f>
        <v>62.141164032400077</v>
      </c>
      <c r="N5" s="119">
        <f>F5/F16</f>
        <v>69.498558777880589</v>
      </c>
      <c r="O5" s="119">
        <f>G5/G16</f>
        <v>109.2070841044127</v>
      </c>
      <c r="P5" s="119">
        <f>H5/H16</f>
        <v>147.37065865422784</v>
      </c>
    </row>
    <row r="6" spans="2:24">
      <c r="B6" s="33" t="s">
        <v>223</v>
      </c>
      <c r="C6" s="31">
        <f>'Flujo de efectivo'!C20</f>
        <v>37037773</v>
      </c>
      <c r="D6" s="31">
        <f>'Flujo de efectivo'!P20</f>
        <v>5277329.5666422099</v>
      </c>
      <c r="E6" s="31">
        <f>'Flujo de efectivo'!Q20</f>
        <v>19958675.269082531</v>
      </c>
      <c r="F6" s="31">
        <f>'Flujo de efectivo'!R20</f>
        <v>29042503.695715852</v>
      </c>
      <c r="G6" s="31">
        <f>'Flujo de efectivo'!S20</f>
        <v>67314797.687577546</v>
      </c>
      <c r="H6" s="31">
        <f>'Flujo de efectivo'!T20</f>
        <v>118673046.00125609</v>
      </c>
      <c r="J6" s="33" t="s">
        <v>245</v>
      </c>
      <c r="K6" s="118"/>
      <c r="L6" s="120">
        <f>D7-D15</f>
        <v>7417691.6948003713</v>
      </c>
      <c r="M6" s="120">
        <f t="shared" ref="M6:P6" si="1">E7-E15</f>
        <v>14136677.424290176</v>
      </c>
      <c r="N6" s="120">
        <f t="shared" si="1"/>
        <v>17063112.890999645</v>
      </c>
      <c r="O6" s="120">
        <f t="shared" si="1"/>
        <v>20595350.151424795</v>
      </c>
      <c r="P6" s="120">
        <f t="shared" si="1"/>
        <v>24858796.315151352</v>
      </c>
    </row>
    <row r="7" spans="2:24">
      <c r="B7" s="33" t="s">
        <v>219</v>
      </c>
      <c r="C7" s="31"/>
      <c r="D7" s="31">
        <f>Ventas!Q11</f>
        <v>7710297.4843307221</v>
      </c>
      <c r="E7" s="31">
        <f>Ventas!R11</f>
        <v>14694327.139223717</v>
      </c>
      <c r="F7" s="31">
        <f>Ventas!S11</f>
        <v>17736201.747310061</v>
      </c>
      <c r="G7" s="31">
        <f>Ventas!T11</f>
        <v>21407775.22106418</v>
      </c>
      <c r="H7" s="31">
        <f>Ventas!U11</f>
        <v>25839401.606102958</v>
      </c>
      <c r="J7" s="33" t="s">
        <v>280</v>
      </c>
      <c r="K7" s="118"/>
      <c r="L7" s="120">
        <f>L6-C7</f>
        <v>7417691.6948003713</v>
      </c>
      <c r="M7" s="120">
        <f>M6-L6</f>
        <v>6718985.7294898052</v>
      </c>
      <c r="N7" s="120">
        <f t="shared" ref="N7:P7" si="2">N6-M6</f>
        <v>2926435.4667094685</v>
      </c>
      <c r="O7" s="120">
        <f t="shared" si="2"/>
        <v>3532237.2604251504</v>
      </c>
      <c r="P7" s="120">
        <f t="shared" si="2"/>
        <v>4263446.163726557</v>
      </c>
    </row>
    <row r="8" spans="2:24" ht="15" customHeight="1">
      <c r="B8" s="62" t="s">
        <v>222</v>
      </c>
      <c r="C8" s="37">
        <f>C9+C10</f>
        <v>35962227</v>
      </c>
      <c r="D8" s="37">
        <f t="shared" ref="D8:H8" si="3">D9+D10</f>
        <v>23299241.203539919</v>
      </c>
      <c r="E8" s="37">
        <f t="shared" si="3"/>
        <v>17839362.950847335</v>
      </c>
      <c r="F8" s="37">
        <f t="shared" si="3"/>
        <v>22246228.535639659</v>
      </c>
      <c r="G8" s="37">
        <f t="shared" si="3"/>
        <v>16782406.744198047</v>
      </c>
      <c r="H8" s="37">
        <f t="shared" si="3"/>
        <v>16901893.645496637</v>
      </c>
      <c r="J8" s="115" t="s">
        <v>242</v>
      </c>
      <c r="K8" s="59"/>
      <c r="L8" s="107"/>
      <c r="M8" s="107"/>
      <c r="N8" s="107"/>
      <c r="O8" s="107"/>
      <c r="P8" s="107"/>
    </row>
    <row r="9" spans="2:24">
      <c r="B9" s="33" t="s">
        <v>220</v>
      </c>
      <c r="C9" s="31">
        <f>Activos!C29</f>
        <v>28278108</v>
      </c>
      <c r="D9" s="31">
        <f>Activos!D29</f>
        <v>23299241.203539919</v>
      </c>
      <c r="E9" s="31">
        <f>Activos!E29</f>
        <v>17839362.950847335</v>
      </c>
      <c r="F9" s="31">
        <f>Activos!F29</f>
        <v>22246228.535639659</v>
      </c>
      <c r="G9" s="31">
        <f>Activos!G29</f>
        <v>16782406.744198047</v>
      </c>
      <c r="H9" s="31">
        <f>Activos!H29</f>
        <v>16901893.645496637</v>
      </c>
      <c r="J9" s="124" t="s">
        <v>248</v>
      </c>
      <c r="K9" s="121"/>
      <c r="L9" s="122">
        <f>D15/D12</f>
        <v>8.0636826379736053E-3</v>
      </c>
      <c r="M9" s="122">
        <f>E15/E12</f>
        <v>1.0623444211707586E-2</v>
      </c>
      <c r="N9" s="122">
        <f>F15/F12</f>
        <v>9.7513871801522753E-3</v>
      </c>
      <c r="O9" s="122">
        <f>G15/G12</f>
        <v>7.7003481002758363E-3</v>
      </c>
      <c r="P9" s="122">
        <f>H15/H12</f>
        <v>6.075081577884632E-3</v>
      </c>
    </row>
    <row r="10" spans="2:24">
      <c r="B10" s="33" t="s">
        <v>221</v>
      </c>
      <c r="C10" s="31">
        <f>Gastos!C21</f>
        <v>7684119</v>
      </c>
      <c r="D10" s="31">
        <f>Gastos!D21</f>
        <v>0</v>
      </c>
      <c r="E10" s="31">
        <f>Gastos!E21</f>
        <v>0</v>
      </c>
      <c r="F10" s="31">
        <f>Gastos!F21</f>
        <v>0</v>
      </c>
      <c r="G10" s="31">
        <f>Gastos!G21</f>
        <v>0</v>
      </c>
      <c r="H10" s="31">
        <f>Gastos!H21</f>
        <v>0</v>
      </c>
      <c r="I10" s="51"/>
      <c r="J10" s="124" t="s">
        <v>246</v>
      </c>
      <c r="K10" s="121"/>
      <c r="L10" s="122">
        <f>D15/D18</f>
        <v>8.1292342026737241E-3</v>
      </c>
      <c r="M10" s="122">
        <f>E15/E18</f>
        <v>1.0737513588285187E-2</v>
      </c>
      <c r="N10" s="122">
        <f>F15/F18</f>
        <v>9.8474131181906632E-3</v>
      </c>
      <c r="O10" s="122">
        <f>G15/G18</f>
        <v>7.7601035992845291E-3</v>
      </c>
      <c r="P10" s="122">
        <f>H15/H18</f>
        <v>6.1122137751903833E-3</v>
      </c>
    </row>
    <row r="11" spans="2:24" s="39" customFormat="1">
      <c r="B11" s="63"/>
      <c r="C11" s="37"/>
      <c r="D11" s="37"/>
      <c r="E11" s="37"/>
      <c r="F11" s="37"/>
      <c r="G11" s="37"/>
      <c r="H11" s="37"/>
      <c r="I11" s="61"/>
      <c r="J11" s="124" t="s">
        <v>247</v>
      </c>
      <c r="K11" s="119">
        <f t="shared" ref="K11:P11" si="4">C12/C18</f>
        <v>1</v>
      </c>
      <c r="L11" s="119">
        <f t="shared" si="4"/>
        <v>1.0081292342026733</v>
      </c>
      <c r="M11" s="119">
        <f t="shared" si="4"/>
        <v>1.0107375135882852</v>
      </c>
      <c r="N11" s="119">
        <f t="shared" si="4"/>
        <v>1.0098474131181907</v>
      </c>
      <c r="O11" s="119">
        <f t="shared" si="4"/>
        <v>1.0077601035992845</v>
      </c>
      <c r="P11" s="119">
        <f t="shared" si="4"/>
        <v>1.0061122137751901</v>
      </c>
    </row>
    <row r="12" spans="2:24">
      <c r="B12" s="93" t="s">
        <v>217</v>
      </c>
      <c r="C12" s="88">
        <f t="shared" ref="C12:H12" si="5">C5+C8</f>
        <v>73000000</v>
      </c>
      <c r="D12" s="88">
        <f t="shared" si="5"/>
        <v>36286868.254512846</v>
      </c>
      <c r="E12" s="88">
        <f t="shared" si="5"/>
        <v>52492365.359153584</v>
      </c>
      <c r="F12" s="88">
        <f t="shared" si="5"/>
        <v>69024933.978665575</v>
      </c>
      <c r="G12" s="88">
        <f t="shared" si="5"/>
        <v>105504979.65283978</v>
      </c>
      <c r="H12" s="88">
        <f t="shared" si="5"/>
        <v>161414341.25285569</v>
      </c>
      <c r="I12" s="51"/>
      <c r="J12" s="116" t="s">
        <v>249</v>
      </c>
      <c r="K12" s="114"/>
      <c r="L12" s="113"/>
      <c r="M12" s="113"/>
      <c r="N12" s="113"/>
      <c r="O12" s="113"/>
      <c r="P12" s="113"/>
    </row>
    <row r="13" spans="2:24">
      <c r="B13" s="62"/>
      <c r="C13" s="77"/>
      <c r="D13" s="77"/>
      <c r="E13" s="77"/>
      <c r="F13" s="77"/>
      <c r="G13" s="77"/>
      <c r="H13" s="77"/>
      <c r="I13" s="51"/>
      <c r="J13" s="124" t="s">
        <v>250</v>
      </c>
      <c r="K13" s="121"/>
      <c r="L13" s="122">
        <f>L19/C12</f>
        <v>-0.50692791143859572</v>
      </c>
      <c r="M13" s="122">
        <f>M19/D12</f>
        <v>0.43928985735094628</v>
      </c>
      <c r="N13" s="122">
        <f>N19/E12</f>
        <v>0.34750301021679497</v>
      </c>
      <c r="O13" s="122">
        <f>O19/F12</f>
        <v>0.65810837052154125</v>
      </c>
      <c r="P13" s="122">
        <f>P19/G12</f>
        <v>0.75475356115374137</v>
      </c>
    </row>
    <row r="14" spans="2:24">
      <c r="B14" s="62" t="s">
        <v>224</v>
      </c>
      <c r="C14" s="77"/>
      <c r="D14" s="77"/>
      <c r="E14" s="77"/>
      <c r="F14" s="77"/>
      <c r="G14" s="77"/>
      <c r="H14" s="77"/>
      <c r="I14" s="51"/>
      <c r="J14" s="124" t="s">
        <v>251</v>
      </c>
      <c r="K14" s="121"/>
      <c r="L14" s="122">
        <f>L13*K11</f>
        <v>-0.50692791143859572</v>
      </c>
      <c r="M14" s="122">
        <f>M13*L11</f>
        <v>0.44286094748421106</v>
      </c>
      <c r="N14" s="122">
        <f t="shared" ref="N14:P14" si="6">N13*M11</f>
        <v>0.35123432851096781</v>
      </c>
      <c r="O14" s="122">
        <f t="shared" si="6"/>
        <v>0.66458903552260618</v>
      </c>
      <c r="P14" s="122">
        <f t="shared" si="6"/>
        <v>0.76061052698022324</v>
      </c>
    </row>
    <row r="15" spans="2:24" ht="15" customHeight="1">
      <c r="B15" s="62" t="s">
        <v>229</v>
      </c>
      <c r="C15" s="37">
        <f t="shared" ref="C15:H15" si="7">SUM(C16:C17)</f>
        <v>0</v>
      </c>
      <c r="D15" s="37">
        <f t="shared" si="7"/>
        <v>292605.78953035083</v>
      </c>
      <c r="E15" s="37">
        <f t="shared" si="7"/>
        <v>557649.71493353997</v>
      </c>
      <c r="F15" s="37">
        <f t="shared" si="7"/>
        <v>673088.85631041671</v>
      </c>
      <c r="G15" s="37">
        <f t="shared" si="7"/>
        <v>812425.06963938556</v>
      </c>
      <c r="H15" s="37">
        <f t="shared" si="7"/>
        <v>980605.29095160705</v>
      </c>
      <c r="J15" s="124" t="s">
        <v>252</v>
      </c>
      <c r="K15" s="121"/>
      <c r="L15" s="120">
        <f>C8+C6</f>
        <v>73000000</v>
      </c>
      <c r="M15" s="120">
        <f>D8+D6</f>
        <v>28576570.770182129</v>
      </c>
      <c r="N15" s="120">
        <f>E8+E6</f>
        <v>37798038.219929866</v>
      </c>
      <c r="O15" s="120">
        <f>F8+F6</f>
        <v>51288732.231355511</v>
      </c>
      <c r="P15" s="120">
        <f>G8+G6</f>
        <v>84097204.4317756</v>
      </c>
    </row>
    <row r="16" spans="2:24">
      <c r="B16" s="33" t="s">
        <v>225</v>
      </c>
      <c r="C16" s="31">
        <v>0</v>
      </c>
      <c r="D16" s="31">
        <f>Gastos!D33</f>
        <v>292605.78953035083</v>
      </c>
      <c r="E16" s="31">
        <f>Gastos!E33</f>
        <v>557649.71493353997</v>
      </c>
      <c r="F16" s="31">
        <f>Gastos!F33</f>
        <v>673088.85631041671</v>
      </c>
      <c r="G16" s="31">
        <f>Gastos!G33</f>
        <v>812425.06963938556</v>
      </c>
      <c r="H16" s="31">
        <f>Gastos!H33</f>
        <v>980605.29095160705</v>
      </c>
      <c r="J16" s="124" t="s">
        <v>253</v>
      </c>
      <c r="K16" s="121"/>
      <c r="L16" s="121"/>
      <c r="M16" s="122">
        <f>M19/L15</f>
        <v>0.21836237231832231</v>
      </c>
      <c r="N16" s="122">
        <f t="shared" ref="N16:P16" si="8">N19/M15</f>
        <v>0.63832903963198051</v>
      </c>
      <c r="O16" s="122">
        <f t="shared" si="8"/>
        <v>1.2018054101576294</v>
      </c>
      <c r="P16" s="122">
        <f t="shared" si="8"/>
        <v>1.5525877838671096</v>
      </c>
    </row>
    <row r="17" spans="2:16" hidden="1">
      <c r="B17" s="33" t="s">
        <v>226</v>
      </c>
      <c r="C17" s="31">
        <f>Prestamos!G11</f>
        <v>0</v>
      </c>
      <c r="D17" s="31">
        <f>Prestamos!G12</f>
        <v>0</v>
      </c>
      <c r="E17" s="31">
        <f>Prestamos!G13</f>
        <v>0</v>
      </c>
      <c r="F17" s="31">
        <f>Prestamos!G14</f>
        <v>0</v>
      </c>
      <c r="G17" s="31">
        <f>Prestamos!G15</f>
        <v>0</v>
      </c>
      <c r="H17" s="31">
        <f>Prestamos!G16</f>
        <v>0</v>
      </c>
      <c r="J17" s="124" t="s">
        <v>254</v>
      </c>
      <c r="K17" s="121"/>
      <c r="L17" s="121"/>
      <c r="M17" s="122">
        <f>'P&amp;G'!D8/'Balance General'!D12</f>
        <v>0.43928985735094628</v>
      </c>
      <c r="N17" s="122">
        <f>'P&amp;G'!E8/'Balance General'!E12</f>
        <v>0.34750301021679497</v>
      </c>
      <c r="O17" s="122">
        <f>'P&amp;G'!F8/'Balance General'!F12</f>
        <v>0.65810837052154125</v>
      </c>
      <c r="P17" s="122">
        <f>'P&amp;G'!G8/'Balance General'!G12</f>
        <v>0.75475356115374137</v>
      </c>
    </row>
    <row r="18" spans="2:16" ht="15" customHeight="1">
      <c r="B18" s="62" t="s">
        <v>227</v>
      </c>
      <c r="C18" s="37">
        <f>SUM(C19:C21)</f>
        <v>73000000</v>
      </c>
      <c r="D18" s="37">
        <f>SUM(D19:D21)</f>
        <v>35994262.46498251</v>
      </c>
      <c r="E18" s="37">
        <f>SUM(E19:E21)</f>
        <v>51934715.644220039</v>
      </c>
      <c r="F18" s="37">
        <f t="shared" ref="F18:H18" si="9">SUM(F19:F21)</f>
        <v>68351845.122355163</v>
      </c>
      <c r="G18" s="37">
        <f t="shared" si="9"/>
        <v>104692554.58320041</v>
      </c>
      <c r="H18" s="37">
        <f t="shared" si="9"/>
        <v>160433735.96190411</v>
      </c>
      <c r="J18" s="124" t="s">
        <v>261</v>
      </c>
      <c r="K18" s="121"/>
      <c r="L18" s="122">
        <f>'P&amp;G'!C12/'P&amp;G'!C4</f>
        <v>-0.4799521368692003</v>
      </c>
      <c r="M18" s="122">
        <f>'P&amp;G'!D12/'P&amp;G'!D4</f>
        <v>0.10848032052238389</v>
      </c>
      <c r="N18" s="122">
        <f>'P&amp;G'!E12/'P&amp;G'!E4</f>
        <v>0.10284758391673246</v>
      </c>
      <c r="O18" s="122">
        <f>'P&amp;G'!F12/'P&amp;G'!F4</f>
        <v>0.21219340336383843</v>
      </c>
      <c r="P18" s="122">
        <f>'P&amp;G'!G12/'P&amp;G'!G4</f>
        <v>0.30817377401505358</v>
      </c>
    </row>
    <row r="19" spans="2:16">
      <c r="B19" s="33" t="s">
        <v>228</v>
      </c>
      <c r="C19" s="31">
        <f>'Flujo de efectivo'!C17</f>
        <v>73000000</v>
      </c>
      <c r="D19" s="31">
        <f>C19+'Flujo de efectivo'!P17</f>
        <v>73000000</v>
      </c>
      <c r="E19" s="31">
        <f>D19+'Flujo de efectivo'!Q17</f>
        <v>73000000</v>
      </c>
      <c r="F19" s="31">
        <f>E19+'Flujo de efectivo'!R17</f>
        <v>73000000</v>
      </c>
      <c r="G19" s="31">
        <f>F19+'Flujo de efectivo'!S17</f>
        <v>73000000</v>
      </c>
      <c r="H19" s="31">
        <f>G19+'Flujo de efectivo'!T17</f>
        <v>73000000</v>
      </c>
      <c r="J19" s="124" t="s">
        <v>260</v>
      </c>
      <c r="K19" s="121"/>
      <c r="L19" s="123">
        <f>'P&amp;G'!C8</f>
        <v>-37005737.53501749</v>
      </c>
      <c r="M19" s="123">
        <f>'P&amp;G'!D8</f>
        <v>15940453.17923753</v>
      </c>
      <c r="N19" s="123">
        <f>'P&amp;G'!E8</f>
        <v>18241254.975705683</v>
      </c>
      <c r="O19" s="123">
        <f>'P&amp;G'!F8</f>
        <v>45425886.82605657</v>
      </c>
      <c r="P19" s="123">
        <f>'P&amp;G'!G8</f>
        <v>79630259.112433851</v>
      </c>
    </row>
    <row r="20" spans="2:16">
      <c r="B20" s="33" t="s">
        <v>231</v>
      </c>
      <c r="C20" s="31">
        <v>0</v>
      </c>
      <c r="D20" s="31">
        <v>0</v>
      </c>
      <c r="E20" s="31">
        <f>D20+D21-'Flujo de efectivo'!Q19</f>
        <v>-37005737.53501749</v>
      </c>
      <c r="F20" s="31">
        <f>E20+E21-'Flujo de efectivo'!R19</f>
        <v>-22889409.853350528</v>
      </c>
      <c r="G20" s="31">
        <f>F20+F21-'Flujo de efectivo'!S19</f>
        <v>-13733332.242856158</v>
      </c>
      <c r="H20" s="31">
        <f>G20+G21-'Flujo de efectivo'!T19</f>
        <v>7803476.849470254</v>
      </c>
      <c r="J20" s="116"/>
      <c r="L20" s="27"/>
    </row>
    <row r="21" spans="2:16">
      <c r="B21" s="33" t="s">
        <v>230</v>
      </c>
      <c r="C21" s="31">
        <v>0</v>
      </c>
      <c r="D21" s="31">
        <f>'P&amp;G'!C12</f>
        <v>-37005737.53501749</v>
      </c>
      <c r="E21" s="31">
        <f>'P&amp;G'!D12</f>
        <v>15940453.17923753</v>
      </c>
      <c r="F21" s="31">
        <f>'P&amp;G'!E12</f>
        <v>18241254.975705683</v>
      </c>
      <c r="G21" s="31">
        <f>'P&amp;G'!F12</f>
        <v>45425886.82605657</v>
      </c>
      <c r="H21" s="31">
        <f>'P&amp;G'!G12</f>
        <v>79630259.112433851</v>
      </c>
      <c r="J21" s="116"/>
    </row>
    <row r="22" spans="2:16" s="39" customFormat="1">
      <c r="B22" s="63"/>
      <c r="C22" s="37"/>
      <c r="D22" s="37"/>
      <c r="E22" s="37"/>
      <c r="F22" s="37"/>
      <c r="G22" s="37"/>
      <c r="H22" s="37"/>
      <c r="J22"/>
      <c r="K22" s="107"/>
      <c r="L22"/>
      <c r="M22"/>
      <c r="N22"/>
      <c r="O22"/>
      <c r="P22"/>
    </row>
    <row r="23" spans="2:16">
      <c r="B23" s="93" t="s">
        <v>232</v>
      </c>
      <c r="C23" s="88">
        <f>C15+C18</f>
        <v>73000000</v>
      </c>
      <c r="D23" s="88">
        <f t="shared" ref="D23:H23" si="10">D15+D18</f>
        <v>36286868.254512861</v>
      </c>
      <c r="E23" s="88">
        <f t="shared" si="10"/>
        <v>52492365.359153576</v>
      </c>
      <c r="F23" s="88">
        <f t="shared" si="10"/>
        <v>69024933.978665575</v>
      </c>
      <c r="G23" s="88">
        <f t="shared" si="10"/>
        <v>105504979.65283979</v>
      </c>
      <c r="H23" s="88">
        <f t="shared" si="10"/>
        <v>161414341.25285572</v>
      </c>
      <c r="L23" s="39"/>
      <c r="M23" s="39"/>
      <c r="N23" s="39"/>
      <c r="O23" s="39"/>
      <c r="P23" s="39"/>
    </row>
    <row r="24" spans="2:16">
      <c r="D24" s="27"/>
      <c r="E24" s="27"/>
      <c r="F24" s="27"/>
      <c r="G24" s="27"/>
      <c r="H24" s="27"/>
    </row>
    <row r="25" spans="2:16">
      <c r="D25" s="27">
        <f>D6-C6</f>
        <v>-31760443.43335779</v>
      </c>
      <c r="E25" s="27">
        <f t="shared" ref="E25:H25" si="11">E6-D6</f>
        <v>14681345.702440321</v>
      </c>
      <c r="F25" s="27">
        <f t="shared" si="11"/>
        <v>9083828.4266333207</v>
      </c>
      <c r="G25" s="27">
        <f t="shared" si="11"/>
        <v>38272293.991861694</v>
      </c>
      <c r="H25" s="27">
        <f t="shared" si="11"/>
        <v>51358248.313678548</v>
      </c>
    </row>
    <row r="26" spans="2:16">
      <c r="B26" s="173"/>
      <c r="C26" s="173"/>
      <c r="D26" s="173"/>
      <c r="E26" s="173"/>
      <c r="F26" s="173"/>
      <c r="G26" s="173"/>
      <c r="H26" s="173"/>
    </row>
    <row r="27" spans="2:16">
      <c r="B27" s="181" t="s">
        <v>234</v>
      </c>
      <c r="C27" s="181"/>
      <c r="D27" s="181"/>
      <c r="E27" s="181"/>
      <c r="F27" s="181"/>
      <c r="G27" s="181"/>
      <c r="H27" s="181"/>
    </row>
    <row r="28" spans="2:16">
      <c r="B28" s="76" t="s">
        <v>193</v>
      </c>
      <c r="C28" s="52">
        <v>2020</v>
      </c>
      <c r="D28" s="52">
        <v>2021</v>
      </c>
      <c r="E28" s="52">
        <v>2022</v>
      </c>
      <c r="F28" s="52">
        <v>2023</v>
      </c>
      <c r="G28" s="52">
        <v>2024</v>
      </c>
      <c r="H28" s="52">
        <v>2025</v>
      </c>
    </row>
    <row r="29" spans="2:16">
      <c r="B29" s="62" t="s">
        <v>152</v>
      </c>
      <c r="C29" s="108"/>
      <c r="D29" s="108"/>
      <c r="E29" s="108"/>
      <c r="F29" s="108"/>
      <c r="G29" s="108"/>
      <c r="H29" s="108"/>
    </row>
    <row r="30" spans="2:16">
      <c r="B30" s="62" t="s">
        <v>218</v>
      </c>
      <c r="C30" s="37"/>
      <c r="D30" s="37"/>
      <c r="E30" s="37"/>
      <c r="F30" s="37"/>
      <c r="G30" s="37"/>
      <c r="H30" s="37"/>
    </row>
    <row r="31" spans="2:16">
      <c r="B31" s="33" t="s">
        <v>223</v>
      </c>
      <c r="C31" s="109">
        <f>C6/C$12</f>
        <v>0.50736675342465754</v>
      </c>
      <c r="D31" s="109">
        <f>D6/D$12</f>
        <v>0.14543359128231989</v>
      </c>
      <c r="E31" s="109">
        <f t="shared" ref="E31:H31" si="12">E6/E$12</f>
        <v>0.38022053554883578</v>
      </c>
      <c r="F31" s="109">
        <f t="shared" si="12"/>
        <v>0.42075380622156616</v>
      </c>
      <c r="G31" s="109">
        <f t="shared" si="12"/>
        <v>0.6380248392926513</v>
      </c>
      <c r="H31" s="109">
        <f t="shared" si="12"/>
        <v>0.73520757251274638</v>
      </c>
    </row>
    <row r="32" spans="2:16">
      <c r="B32" s="33" t="s">
        <v>219</v>
      </c>
      <c r="C32" s="109">
        <f>C7/C$12</f>
        <v>0</v>
      </c>
      <c r="D32" s="109">
        <f>D7/D$12</f>
        <v>0.21248175594133353</v>
      </c>
      <c r="E32" s="109">
        <f t="shared" ref="E32:H32" si="13">E7/E$12</f>
        <v>0.27993265379993648</v>
      </c>
      <c r="F32" s="109">
        <f t="shared" si="13"/>
        <v>0.25695354888411798</v>
      </c>
      <c r="G32" s="109">
        <f t="shared" si="13"/>
        <v>0.20290772332742654</v>
      </c>
      <c r="H32" s="109">
        <f t="shared" si="13"/>
        <v>0.16008120099827758</v>
      </c>
    </row>
    <row r="33" spans="2:8">
      <c r="B33" s="62" t="s">
        <v>222</v>
      </c>
      <c r="C33" s="110"/>
      <c r="D33" s="110"/>
      <c r="E33" s="110"/>
      <c r="F33" s="110"/>
      <c r="G33" s="110"/>
      <c r="H33" s="110"/>
    </row>
    <row r="34" spans="2:8">
      <c r="B34" s="33" t="s">
        <v>220</v>
      </c>
      <c r="C34" s="109">
        <f>C9/C$12</f>
        <v>0.38737134246575344</v>
      </c>
      <c r="D34" s="109">
        <f t="shared" ref="D34:H34" si="14">D9/D$12</f>
        <v>0.64208465277634674</v>
      </c>
      <c r="E34" s="109">
        <f t="shared" si="14"/>
        <v>0.33984681065122774</v>
      </c>
      <c r="F34" s="109">
        <f t="shared" si="14"/>
        <v>0.32229264489431581</v>
      </c>
      <c r="G34" s="109">
        <f t="shared" si="14"/>
        <v>0.1590674373799221</v>
      </c>
      <c r="H34" s="109">
        <f t="shared" si="14"/>
        <v>0.10471122648897602</v>
      </c>
    </row>
    <row r="35" spans="2:8">
      <c r="B35" s="33" t="s">
        <v>221</v>
      </c>
      <c r="C35" s="109">
        <f>C10/C$12</f>
        <v>0.10526190410958904</v>
      </c>
      <c r="D35" s="109">
        <f>D10/D$12</f>
        <v>0</v>
      </c>
      <c r="E35" s="109">
        <f t="shared" ref="E35:H35" si="15">E10/E$12</f>
        <v>0</v>
      </c>
      <c r="F35" s="109">
        <f t="shared" si="15"/>
        <v>0</v>
      </c>
      <c r="G35" s="109">
        <f t="shared" si="15"/>
        <v>0</v>
      </c>
      <c r="H35" s="109">
        <f t="shared" si="15"/>
        <v>0</v>
      </c>
    </row>
    <row r="36" spans="2:8">
      <c r="B36" s="62" t="s">
        <v>224</v>
      </c>
      <c r="C36" s="111"/>
      <c r="D36" s="111"/>
      <c r="E36" s="111"/>
      <c r="F36" s="111"/>
      <c r="G36" s="111"/>
      <c r="H36" s="111"/>
    </row>
    <row r="37" spans="2:8">
      <c r="B37" s="62" t="s">
        <v>229</v>
      </c>
      <c r="C37" s="110"/>
      <c r="D37" s="110"/>
      <c r="E37" s="110"/>
      <c r="F37" s="110"/>
      <c r="G37" s="110"/>
      <c r="H37" s="110"/>
    </row>
    <row r="38" spans="2:8">
      <c r="B38" s="33" t="s">
        <v>225</v>
      </c>
      <c r="C38" s="109">
        <f>C16/C$23</f>
        <v>0</v>
      </c>
      <c r="D38" s="109">
        <f t="shared" ref="D38:H38" si="16">D16/D$23</f>
        <v>8.0636826379736019E-3</v>
      </c>
      <c r="E38" s="109">
        <f t="shared" si="16"/>
        <v>1.0623444211707588E-2</v>
      </c>
      <c r="F38" s="109">
        <f t="shared" si="16"/>
        <v>9.7513871801522753E-3</v>
      </c>
      <c r="G38" s="109">
        <f t="shared" si="16"/>
        <v>7.7003481002758355E-3</v>
      </c>
      <c r="H38" s="109">
        <f t="shared" si="16"/>
        <v>6.0750815778846312E-3</v>
      </c>
    </row>
    <row r="39" spans="2:8">
      <c r="B39" s="33" t="s">
        <v>226</v>
      </c>
      <c r="C39" s="109">
        <f>C17/C$23</f>
        <v>0</v>
      </c>
      <c r="D39" s="109">
        <f t="shared" ref="D39:H39" si="17">D17/D$23</f>
        <v>0</v>
      </c>
      <c r="E39" s="109">
        <f t="shared" si="17"/>
        <v>0</v>
      </c>
      <c r="F39" s="109">
        <f t="shared" si="17"/>
        <v>0</v>
      </c>
      <c r="G39" s="109">
        <f t="shared" si="17"/>
        <v>0</v>
      </c>
      <c r="H39" s="109">
        <f t="shared" si="17"/>
        <v>0</v>
      </c>
    </row>
    <row r="40" spans="2:8">
      <c r="B40" s="62" t="s">
        <v>227</v>
      </c>
    </row>
    <row r="41" spans="2:8">
      <c r="B41" s="33" t="s">
        <v>228</v>
      </c>
      <c r="C41" s="109">
        <f t="shared" ref="C41:H41" si="18">C19/C$23</f>
        <v>1</v>
      </c>
      <c r="D41" s="109">
        <f t="shared" si="18"/>
        <v>2.0117470454596549</v>
      </c>
      <c r="E41" s="109">
        <f t="shared" si="18"/>
        <v>1.3906784253392446</v>
      </c>
      <c r="F41" s="109">
        <f t="shared" si="18"/>
        <v>1.0575888420634063</v>
      </c>
      <c r="G41" s="109">
        <f t="shared" si="18"/>
        <v>0.69191046944138357</v>
      </c>
      <c r="H41" s="109">
        <f t="shared" si="18"/>
        <v>0.4522522561092972</v>
      </c>
    </row>
    <row r="42" spans="2:8">
      <c r="B42" s="33" t="s">
        <v>231</v>
      </c>
      <c r="C42" s="109">
        <f t="shared" ref="C42:H42" si="19">C20/C$23</f>
        <v>0</v>
      </c>
      <c r="D42" s="109">
        <f t="shared" si="19"/>
        <v>0</v>
      </c>
      <c r="E42" s="109">
        <f t="shared" si="19"/>
        <v>-0.70497370963993833</v>
      </c>
      <c r="F42" s="109">
        <f t="shared" si="19"/>
        <v>-0.33161074605917412</v>
      </c>
      <c r="G42" s="109">
        <f t="shared" si="19"/>
        <v>-0.13016762135820675</v>
      </c>
      <c r="H42" s="109">
        <f t="shared" si="19"/>
        <v>4.8344383707802641E-2</v>
      </c>
    </row>
    <row r="43" spans="2:8">
      <c r="B43" s="33" t="s">
        <v>230</v>
      </c>
      <c r="C43" s="109">
        <f t="shared" ref="C43:H43" si="20">C21/C$23</f>
        <v>0</v>
      </c>
      <c r="D43" s="109">
        <f t="shared" si="20"/>
        <v>-1.0198107280976287</v>
      </c>
      <c r="E43" s="109">
        <f t="shared" si="20"/>
        <v>0.30367184008898634</v>
      </c>
      <c r="F43" s="109">
        <f t="shared" si="20"/>
        <v>0.26427051681561542</v>
      </c>
      <c r="G43" s="109">
        <f t="shared" si="20"/>
        <v>0.43055680381654743</v>
      </c>
      <c r="H43" s="109">
        <f t="shared" si="20"/>
        <v>0.49332827860501549</v>
      </c>
    </row>
    <row r="45" spans="2:8">
      <c r="B45" s="181" t="s">
        <v>235</v>
      </c>
      <c r="C45" s="181"/>
      <c r="D45" s="181"/>
      <c r="E45" s="181"/>
      <c r="F45" s="181"/>
      <c r="G45" s="181"/>
      <c r="H45" s="181"/>
    </row>
    <row r="46" spans="2:8">
      <c r="B46" s="76" t="s">
        <v>193</v>
      </c>
      <c r="C46" s="52" t="s">
        <v>236</v>
      </c>
      <c r="D46" s="52" t="s">
        <v>237</v>
      </c>
      <c r="E46" s="52" t="s">
        <v>238</v>
      </c>
      <c r="F46" s="52" t="s">
        <v>239</v>
      </c>
      <c r="G46" s="52" t="s">
        <v>240</v>
      </c>
    </row>
    <row r="47" spans="2:8">
      <c r="B47" s="62" t="s">
        <v>152</v>
      </c>
      <c r="C47" s="108"/>
      <c r="D47" s="108"/>
      <c r="E47" s="108"/>
      <c r="F47" s="108"/>
      <c r="G47" s="108"/>
    </row>
    <row r="48" spans="2:8">
      <c r="B48" s="62" t="s">
        <v>218</v>
      </c>
      <c r="C48" s="37"/>
      <c r="D48" s="37"/>
      <c r="E48" s="37"/>
      <c r="F48" s="37"/>
      <c r="G48" s="37"/>
    </row>
    <row r="49" spans="2:7">
      <c r="B49" s="33" t="s">
        <v>223</v>
      </c>
      <c r="C49" s="109">
        <f>(D6-C6)/C6</f>
        <v>-0.85751493302142623</v>
      </c>
      <c r="D49" s="109">
        <f t="shared" ref="D49:G49" si="21">(E6-D6)/D6</f>
        <v>2.7819649155968054</v>
      </c>
      <c r="E49" s="109">
        <f t="shared" si="21"/>
        <v>0.45513183135480162</v>
      </c>
      <c r="F49" s="109">
        <f t="shared" si="21"/>
        <v>1.3178028448527788</v>
      </c>
      <c r="G49" s="109">
        <f t="shared" si="21"/>
        <v>0.76295629011682131</v>
      </c>
    </row>
    <row r="50" spans="2:7">
      <c r="B50" s="33" t="s">
        <v>219</v>
      </c>
      <c r="C50" s="109"/>
      <c r="D50" s="109">
        <f t="shared" ref="D50:G50" si="22">(E7-D7)/D7</f>
        <v>0.90580547236813014</v>
      </c>
      <c r="E50" s="109">
        <f t="shared" si="22"/>
        <v>0.20701013249981601</v>
      </c>
      <c r="F50" s="109">
        <f t="shared" si="22"/>
        <v>0.20701013249981573</v>
      </c>
      <c r="G50" s="109">
        <f t="shared" si="22"/>
        <v>0.2070101324998162</v>
      </c>
    </row>
    <row r="51" spans="2:7">
      <c r="B51" s="62" t="s">
        <v>222</v>
      </c>
      <c r="C51" s="110"/>
      <c r="D51" s="110"/>
      <c r="E51" s="110"/>
      <c r="F51" s="110"/>
      <c r="G51" s="110"/>
    </row>
    <row r="52" spans="2:7">
      <c r="B52" s="33" t="s">
        <v>220</v>
      </c>
      <c r="C52" s="109">
        <f>(D9-C9)/C9</f>
        <v>-0.17606788956531608</v>
      </c>
      <c r="D52" s="109">
        <f t="shared" ref="D52:G52" si="23">(E9-D9)/D9</f>
        <v>-0.23433717025355527</v>
      </c>
      <c r="E52" s="109">
        <f t="shared" si="23"/>
        <v>0.24703043471532743</v>
      </c>
      <c r="F52" s="109">
        <f t="shared" si="23"/>
        <v>-0.24560665564899123</v>
      </c>
      <c r="G52" s="109">
        <f t="shared" si="23"/>
        <v>7.1197715035656957E-3</v>
      </c>
    </row>
    <row r="53" spans="2:7">
      <c r="B53" s="33" t="s">
        <v>221</v>
      </c>
      <c r="C53" s="109">
        <f>(D10-C10)/C10</f>
        <v>-1</v>
      </c>
      <c r="D53" s="109"/>
      <c r="E53" s="109"/>
      <c r="F53" s="109"/>
      <c r="G53" s="109"/>
    </row>
    <row r="54" spans="2:7">
      <c r="B54" s="62" t="s">
        <v>224</v>
      </c>
      <c r="C54" s="111"/>
      <c r="D54" s="111"/>
      <c r="E54" s="111"/>
      <c r="F54" s="111"/>
      <c r="G54" s="111"/>
    </row>
    <row r="55" spans="2:7">
      <c r="B55" s="62" t="s">
        <v>229</v>
      </c>
      <c r="C55" s="110"/>
      <c r="D55" s="110"/>
      <c r="E55" s="110"/>
      <c r="F55" s="110"/>
      <c r="G55" s="110"/>
    </row>
    <row r="56" spans="2:7">
      <c r="B56" s="33" t="s">
        <v>225</v>
      </c>
      <c r="C56" s="109"/>
      <c r="D56" s="109">
        <f t="shared" ref="D56:G56" si="24">(E16-D16)/D16</f>
        <v>0.90580547236813025</v>
      </c>
      <c r="E56" s="109">
        <f t="shared" si="24"/>
        <v>0.20701013249981601</v>
      </c>
      <c r="F56" s="109">
        <f t="shared" si="24"/>
        <v>0.20701013249981581</v>
      </c>
      <c r="G56" s="109">
        <f t="shared" si="24"/>
        <v>0.20701013249981606</v>
      </c>
    </row>
    <row r="57" spans="2:7">
      <c r="B57" s="33" t="s">
        <v>226</v>
      </c>
      <c r="C57" s="109"/>
      <c r="D57" s="109"/>
      <c r="E57" s="109"/>
      <c r="F57" s="109"/>
      <c r="G57" s="109"/>
    </row>
    <row r="58" spans="2:7">
      <c r="B58" s="62" t="s">
        <v>227</v>
      </c>
      <c r="C58" s="110"/>
      <c r="D58" s="110"/>
      <c r="E58" s="110"/>
      <c r="F58" s="110"/>
      <c r="G58" s="110"/>
    </row>
    <row r="59" spans="2:7">
      <c r="B59" s="33" t="s">
        <v>228</v>
      </c>
      <c r="C59" s="109">
        <f>(D19-C19)/C19</f>
        <v>0</v>
      </c>
      <c r="D59" s="109">
        <f t="shared" ref="D59:G59" si="25">(E19-D19)/D19</f>
        <v>0</v>
      </c>
      <c r="E59" s="109">
        <f t="shared" si="25"/>
        <v>0</v>
      </c>
      <c r="F59" s="109">
        <f t="shared" si="25"/>
        <v>0</v>
      </c>
      <c r="G59" s="109">
        <f t="shared" si="25"/>
        <v>0</v>
      </c>
    </row>
    <row r="60" spans="2:7">
      <c r="B60" s="33" t="s">
        <v>231</v>
      </c>
      <c r="C60" s="109"/>
      <c r="D60" s="109"/>
      <c r="E60" s="109">
        <f t="shared" ref="E60:G60" si="26">(F20-E20)/E20</f>
        <v>-0.38146321684060691</v>
      </c>
      <c r="F60" s="109">
        <f t="shared" si="26"/>
        <v>-0.40001370368026823</v>
      </c>
      <c r="G60" s="109">
        <f t="shared" si="26"/>
        <v>-1.5682143788176017</v>
      </c>
    </row>
    <row r="61" spans="2:7">
      <c r="B61" s="33" t="s">
        <v>230</v>
      </c>
      <c r="C61" s="109"/>
      <c r="D61" s="109">
        <f>(E21-D21)/D21</f>
        <v>-1.4307562621648475</v>
      </c>
      <c r="E61" s="109">
        <f>(F21-E21)/E21</f>
        <v>0.14433728894639911</v>
      </c>
      <c r="F61" s="109">
        <f t="shared" ref="F61:G61" si="27">(G21-F21)/F21</f>
        <v>1.4902829814372034</v>
      </c>
      <c r="G61" s="109">
        <f t="shared" si="27"/>
        <v>0.75297093081201971</v>
      </c>
    </row>
  </sheetData>
  <mergeCells count="4">
    <mergeCell ref="B2:H2"/>
    <mergeCell ref="B27:H27"/>
    <mergeCell ref="B45:H45"/>
    <mergeCell ref="J2:P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3FB1-F9A4-4C2D-A31E-FE87F754A4C0}">
  <dimension ref="B2:J27"/>
  <sheetViews>
    <sheetView showGridLines="0" zoomScale="70" zoomScaleNormal="70" workbookViewId="0">
      <selection activeCell="G24" sqref="G24"/>
    </sheetView>
  </sheetViews>
  <sheetFormatPr baseColWidth="10" defaultColWidth="11.42578125" defaultRowHeight="15"/>
  <cols>
    <col min="1" max="1" width="2.7109375" style="164" customWidth="1"/>
    <col min="2" max="2" width="39.140625" style="164" bestFit="1" customWidth="1"/>
    <col min="3" max="8" width="18.7109375" style="164" customWidth="1"/>
    <col min="9" max="9" width="11.42578125" style="164"/>
    <col min="10" max="10" width="14.140625" style="164" bestFit="1" customWidth="1"/>
    <col min="11" max="16384" width="11.42578125" style="164"/>
  </cols>
  <sheetData>
    <row r="2" spans="2:10" ht="12.95" customHeight="1">
      <c r="B2" s="180" t="s">
        <v>284</v>
      </c>
      <c r="C2" s="180"/>
      <c r="D2" s="180"/>
      <c r="E2" s="180"/>
      <c r="F2" s="180"/>
      <c r="G2" s="180"/>
      <c r="H2" s="180"/>
    </row>
    <row r="3" spans="2:10" ht="20.100000000000001" customHeight="1">
      <c r="B3" s="76" t="s">
        <v>193</v>
      </c>
      <c r="C3" s="52">
        <v>2020</v>
      </c>
      <c r="D3" s="52">
        <v>2021</v>
      </c>
      <c r="E3" s="52">
        <v>2022</v>
      </c>
      <c r="F3" s="52">
        <v>2023</v>
      </c>
      <c r="G3" s="52">
        <v>2024</v>
      </c>
      <c r="H3" s="52">
        <v>2025</v>
      </c>
    </row>
    <row r="4" spans="2:10">
      <c r="B4" s="116" t="s">
        <v>206</v>
      </c>
      <c r="C4" s="170">
        <v>0</v>
      </c>
      <c r="D4" s="170">
        <f>'P&amp;G'!C12</f>
        <v>-37005737.53501749</v>
      </c>
      <c r="E4" s="170">
        <f>'P&amp;G'!D12</f>
        <v>15940453.17923753</v>
      </c>
      <c r="F4" s="170">
        <f>'P&amp;G'!E12</f>
        <v>18241254.975705683</v>
      </c>
      <c r="G4" s="170">
        <f>'P&amp;G'!F12</f>
        <v>45425886.82605657</v>
      </c>
      <c r="H4" s="170">
        <f>'P&amp;G'!G12</f>
        <v>79630259.112433851</v>
      </c>
    </row>
    <row r="5" spans="2:10">
      <c r="B5" s="124" t="s">
        <v>207</v>
      </c>
      <c r="C5" s="171">
        <v>0</v>
      </c>
      <c r="D5" s="171">
        <f>Activos!D28</f>
        <v>6206271.2380952379</v>
      </c>
      <c r="E5" s="171">
        <f>Activos!E28</f>
        <v>6498939.9794471543</v>
      </c>
      <c r="F5" s="171">
        <f>Activos!F28</f>
        <v>6779660.9594543697</v>
      </c>
      <c r="G5" s="171">
        <f>Activos!G28</f>
        <v>7198600.4742032681</v>
      </c>
      <c r="H5" s="171">
        <f>Activos!H28</f>
        <v>7320760.0175618716</v>
      </c>
    </row>
    <row r="6" spans="2:10">
      <c r="B6" s="104" t="s">
        <v>285</v>
      </c>
      <c r="C6" s="68"/>
      <c r="D6" s="67">
        <f>D4+D5</f>
        <v>-30799466.296922252</v>
      </c>
      <c r="E6" s="67">
        <f t="shared" ref="E6:H6" si="0">E4+E5</f>
        <v>22439393.158684686</v>
      </c>
      <c r="F6" s="67">
        <f t="shared" si="0"/>
        <v>25020915.935160052</v>
      </c>
      <c r="G6" s="67">
        <f t="shared" si="0"/>
        <v>52624487.300259836</v>
      </c>
      <c r="H6" s="67">
        <f t="shared" si="0"/>
        <v>86951019.129995719</v>
      </c>
    </row>
    <row r="7" spans="2:10">
      <c r="B7" s="124" t="s">
        <v>277</v>
      </c>
      <c r="C7" s="171">
        <v>0</v>
      </c>
      <c r="D7" s="171">
        <f>Activos!F21</f>
        <v>1227404.4416351579</v>
      </c>
      <c r="E7" s="171">
        <f>Activos!G21</f>
        <v>1039061.7267545685</v>
      </c>
      <c r="F7" s="171">
        <f>Activos!H21</f>
        <v>11186526.544246694</v>
      </c>
      <c r="G7" s="171">
        <f>Activos!I21</f>
        <v>1734778.6827616573</v>
      </c>
      <c r="H7" s="171">
        <f>Activos!J21</f>
        <v>7440246.9188604616</v>
      </c>
    </row>
    <row r="8" spans="2:10">
      <c r="B8" s="124" t="s">
        <v>278</v>
      </c>
      <c r="C8" s="171">
        <v>0</v>
      </c>
      <c r="D8" s="171">
        <f>'Balance General'!L7</f>
        <v>7417691.6948003713</v>
      </c>
      <c r="E8" s="171">
        <f>'Balance General'!M7</f>
        <v>6718985.7294898052</v>
      </c>
      <c r="F8" s="171">
        <f>'Balance General'!N7</f>
        <v>2926435.4667094685</v>
      </c>
      <c r="G8" s="171">
        <f>'Balance General'!O7</f>
        <v>3532237.2604251504</v>
      </c>
      <c r="H8" s="171">
        <f>'Balance General'!P7</f>
        <v>4263446.163726557</v>
      </c>
    </row>
    <row r="9" spans="2:10">
      <c r="B9" s="104" t="s">
        <v>279</v>
      </c>
      <c r="C9" s="68"/>
      <c r="D9" s="67">
        <f>D6-D7-D8</f>
        <v>-39444562.433357783</v>
      </c>
      <c r="E9" s="67">
        <f t="shared" ref="E9:H9" si="1">E6-E7-E8</f>
        <v>14681345.702440312</v>
      </c>
      <c r="F9" s="67">
        <f t="shared" si="1"/>
        <v>10907953.924203889</v>
      </c>
      <c r="G9" s="67">
        <f t="shared" si="1"/>
        <v>47357471.357073031</v>
      </c>
      <c r="H9" s="67">
        <f t="shared" si="1"/>
        <v>75247326.0474087</v>
      </c>
    </row>
    <row r="10" spans="2:10">
      <c r="B10" s="124" t="s">
        <v>208</v>
      </c>
      <c r="C10" s="171">
        <f>'Flujo de efectivo'!C17</f>
        <v>73000000</v>
      </c>
      <c r="D10" s="171">
        <f>'Flujo de efectivo'!P17</f>
        <v>0</v>
      </c>
      <c r="E10" s="171">
        <f>'Flujo de efectivo'!Q17</f>
        <v>0</v>
      </c>
      <c r="F10" s="171">
        <f>'Flujo de efectivo'!R17</f>
        <v>0</v>
      </c>
      <c r="G10" s="171">
        <f>'Flujo de efectivo'!S17</f>
        <v>0</v>
      </c>
      <c r="H10" s="171">
        <f>'Flujo de efectivo'!T17</f>
        <v>0</v>
      </c>
    </row>
    <row r="11" spans="2:10" hidden="1">
      <c r="B11" s="124" t="s">
        <v>209</v>
      </c>
      <c r="C11" s="171">
        <f>'Flujo de efectivo'!C18</f>
        <v>0</v>
      </c>
      <c r="D11" s="171">
        <f>'Flujo de efectivo'!Q18</f>
        <v>0</v>
      </c>
      <c r="E11" s="171">
        <f>'Flujo de efectivo'!R18</f>
        <v>0</v>
      </c>
      <c r="F11" s="171">
        <f>'Flujo de efectivo'!S18</f>
        <v>0</v>
      </c>
      <c r="G11" s="171">
        <f>'Flujo de efectivo'!T18</f>
        <v>0</v>
      </c>
      <c r="H11" s="171">
        <f>'Flujo de efectivo'!U18</f>
        <v>0</v>
      </c>
    </row>
    <row r="12" spans="2:10">
      <c r="B12" s="124" t="s">
        <v>283</v>
      </c>
      <c r="C12" s="171">
        <f>C10-C11</f>
        <v>73000000</v>
      </c>
      <c r="D12" s="171">
        <f t="shared" ref="D12:H12" si="2">D10-D11</f>
        <v>0</v>
      </c>
      <c r="E12" s="171">
        <f t="shared" si="2"/>
        <v>0</v>
      </c>
      <c r="F12" s="171">
        <f t="shared" si="2"/>
        <v>0</v>
      </c>
      <c r="G12" s="171">
        <f t="shared" si="2"/>
        <v>0</v>
      </c>
      <c r="H12" s="171">
        <f t="shared" si="2"/>
        <v>0</v>
      </c>
    </row>
    <row r="13" spans="2:10">
      <c r="B13" s="124" t="s">
        <v>281</v>
      </c>
      <c r="C13" s="171">
        <v>0</v>
      </c>
      <c r="D13" s="171">
        <v>0</v>
      </c>
      <c r="E13" s="171">
        <v>0</v>
      </c>
      <c r="F13" s="171">
        <v>0</v>
      </c>
      <c r="G13" s="171">
        <v>0</v>
      </c>
      <c r="H13" s="171">
        <f>H9/C20</f>
        <v>403470917.14428258</v>
      </c>
      <c r="J13" s="25"/>
    </row>
    <row r="14" spans="2:10">
      <c r="B14" s="104" t="s">
        <v>282</v>
      </c>
      <c r="C14" s="104">
        <f>C9-C12+C13</f>
        <v>-73000000</v>
      </c>
      <c r="D14" s="165">
        <f>D9-D12+D13</f>
        <v>-39444562.433357783</v>
      </c>
      <c r="E14" s="165">
        <f t="shared" ref="E14:G14" si="3">E9-E12+E13</f>
        <v>14681345.702440312</v>
      </c>
      <c r="F14" s="165">
        <f t="shared" si="3"/>
        <v>10907953.924203889</v>
      </c>
      <c r="G14" s="165">
        <f t="shared" si="3"/>
        <v>47357471.357073031</v>
      </c>
      <c r="H14" s="165">
        <f>H9-H12+H13</f>
        <v>478718243.19169128</v>
      </c>
    </row>
    <row r="15" spans="2:10">
      <c r="B15" s="68"/>
      <c r="C15" s="67"/>
      <c r="D15" s="67"/>
      <c r="E15" s="67"/>
      <c r="F15" s="67"/>
      <c r="G15" s="67"/>
      <c r="H15" s="67"/>
    </row>
    <row r="16" spans="2:10">
      <c r="B16" s="104" t="s">
        <v>210</v>
      </c>
      <c r="C16" s="67">
        <f>C14</f>
        <v>-73000000</v>
      </c>
      <c r="D16" s="67">
        <f>C16*(1+$C$20)+D14</f>
        <v>-126059062.43335781</v>
      </c>
      <c r="E16" s="67">
        <f t="shared" ref="E16:G16" si="4">D16*(1+$C$20)+E14</f>
        <v>-134887731.87473872</v>
      </c>
      <c r="F16" s="67">
        <f t="shared" si="4"/>
        <v>-149136339.94517362</v>
      </c>
      <c r="G16" s="67">
        <f t="shared" si="4"/>
        <v>-129592795.98787549</v>
      </c>
      <c r="H16" s="67">
        <f>G16*(1+$C$20)+H14</f>
        <v>324956390.75207698</v>
      </c>
    </row>
    <row r="17" spans="2:8">
      <c r="B17" s="104" t="s">
        <v>211</v>
      </c>
      <c r="C17" s="166">
        <f>SUM(D17:H17)</f>
        <v>4.2851018102514296</v>
      </c>
      <c r="D17" s="166">
        <f>IF(AND(D16&gt;0,C16&lt;0),0+ABS(C16)/(ABS(D16)+ABS(C16)),0)</f>
        <v>0</v>
      </c>
      <c r="E17" s="166">
        <f>IF(AND(E16&gt;0,D16&lt;0),1+ABS(D16)/(ABS(E16)+ABS(D16)),0)</f>
        <v>0</v>
      </c>
      <c r="F17" s="166">
        <f>IF(AND(F16&gt;0,E16&lt;0),2+ABS(E16)/(ABS(F16)+ABS(E16)),0)</f>
        <v>0</v>
      </c>
      <c r="G17" s="166">
        <f>IF(AND(G16&gt;0,F16&lt;0),3+ABS(F16)/(ABS(G16)+ABS(F16)),0)</f>
        <v>0</v>
      </c>
      <c r="H17" s="166">
        <f>IF(AND(H16&gt;0,G16&lt;0),4+ABS(G16)/(ABS(H16)+ABS(G16)),0)</f>
        <v>4.2851018102514296</v>
      </c>
    </row>
    <row r="18" spans="2:8">
      <c r="B18" s="104" t="s">
        <v>212</v>
      </c>
      <c r="C18" s="167">
        <f>IF(C14=0,0,IRR(C14:H14))</f>
        <v>0.43557224847487341</v>
      </c>
      <c r="D18" s="68"/>
      <c r="E18" s="68"/>
      <c r="F18" s="68"/>
      <c r="G18" s="68"/>
      <c r="H18" s="68"/>
    </row>
    <row r="19" spans="2:8">
      <c r="B19" s="104" t="s">
        <v>213</v>
      </c>
      <c r="C19" s="67">
        <f>C14+NPV(C20,D14:H14)</f>
        <v>138193103.33193734</v>
      </c>
      <c r="D19" s="168"/>
      <c r="E19" s="68"/>
      <c r="F19" s="68"/>
      <c r="G19" s="68"/>
      <c r="H19" s="68"/>
    </row>
    <row r="20" spans="2:8">
      <c r="B20" s="104" t="s">
        <v>263</v>
      </c>
      <c r="C20" s="169">
        <v>0.1865</v>
      </c>
      <c r="D20" s="68"/>
      <c r="E20" s="68"/>
      <c r="F20" s="68"/>
      <c r="G20" s="68"/>
      <c r="H20" s="68"/>
    </row>
    <row r="22" spans="2:8">
      <c r="F22" s="176"/>
      <c r="G22" s="176"/>
      <c r="H22" s="176"/>
    </row>
    <row r="23" spans="2:8">
      <c r="D23" s="27"/>
      <c r="E23" s="27"/>
      <c r="F23" s="27"/>
      <c r="G23" s="27"/>
      <c r="H23" s="27"/>
    </row>
    <row r="25" spans="2:8">
      <c r="D25" s="174"/>
      <c r="E25" s="174"/>
      <c r="F25" s="174"/>
      <c r="G25" s="174"/>
      <c r="H25" s="174"/>
    </row>
    <row r="26" spans="2:8">
      <c r="D26" s="174"/>
      <c r="E26" s="174"/>
      <c r="F26" s="174"/>
      <c r="G26" s="174"/>
      <c r="H26" s="174"/>
    </row>
    <row r="27" spans="2:8">
      <c r="D27" s="176"/>
      <c r="E27" s="176"/>
      <c r="F27" s="176"/>
      <c r="G27" s="176"/>
      <c r="H27" s="176"/>
    </row>
  </sheetData>
  <mergeCells count="1">
    <mergeCell ref="B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148C-0B14-42B6-A9BF-A44BA018F228}">
  <dimension ref="A1:G71"/>
  <sheetViews>
    <sheetView zoomScale="70" zoomScaleNormal="70" workbookViewId="0">
      <selection activeCell="K24" sqref="K24"/>
    </sheetView>
  </sheetViews>
  <sheetFormatPr baseColWidth="10" defaultRowHeight="15"/>
  <cols>
    <col min="2" max="2" width="25.85546875" bestFit="1" customWidth="1"/>
    <col min="3" max="3" width="14.42578125" bestFit="1" customWidth="1"/>
    <col min="4" max="4" width="21.42578125" bestFit="1" customWidth="1"/>
    <col min="5" max="5" width="22.42578125" bestFit="1" customWidth="1"/>
    <col min="6" max="6" width="19.28515625" bestFit="1" customWidth="1"/>
    <col min="7" max="7" width="13.5703125" bestFit="1" customWidth="1"/>
  </cols>
  <sheetData>
    <row r="1" spans="1:7">
      <c r="C1" s="43" t="s">
        <v>62</v>
      </c>
      <c r="D1" s="43" t="s">
        <v>62</v>
      </c>
      <c r="E1" s="43" t="s">
        <v>62</v>
      </c>
      <c r="F1" s="43" t="s">
        <v>62</v>
      </c>
      <c r="G1" s="43" t="s">
        <v>62</v>
      </c>
    </row>
    <row r="2" spans="1:7">
      <c r="C2" s="44">
        <v>2021</v>
      </c>
      <c r="D2" s="44">
        <v>2022</v>
      </c>
      <c r="E2" s="44">
        <v>2023</v>
      </c>
      <c r="F2" s="44">
        <v>2022</v>
      </c>
      <c r="G2" s="44">
        <v>2023</v>
      </c>
    </row>
    <row r="3" spans="1:7">
      <c r="B3" s="42" t="s">
        <v>117</v>
      </c>
      <c r="C3" s="45">
        <f>SUM(D12:D23)</f>
        <v>0</v>
      </c>
      <c r="D3" s="45">
        <f>SUM(D24:D35)</f>
        <v>0</v>
      </c>
      <c r="E3" s="45">
        <f>SUM(D36:D47)</f>
        <v>0</v>
      </c>
      <c r="F3" s="45">
        <f>SUM(D48:D59)</f>
        <v>0</v>
      </c>
      <c r="G3" s="45">
        <f>SUM(D60:D71)</f>
        <v>0</v>
      </c>
    </row>
    <row r="4" spans="1:7">
      <c r="B4" s="42" t="s">
        <v>118</v>
      </c>
      <c r="C4" s="45">
        <f>SUM(E12:E23)</f>
        <v>0</v>
      </c>
      <c r="D4" s="45">
        <f>SUM(E24:E35)</f>
        <v>0</v>
      </c>
      <c r="E4" s="45">
        <f>SUM(E36:E47)</f>
        <v>0</v>
      </c>
      <c r="F4" s="45">
        <f>SUM(E48:E59)</f>
        <v>0</v>
      </c>
      <c r="G4" s="45">
        <f>SUM(E60:E71)</f>
        <v>0</v>
      </c>
    </row>
    <row r="5" spans="1:7">
      <c r="B5" s="42" t="s">
        <v>119</v>
      </c>
      <c r="C5" s="45">
        <f>SUM(F12:F23)</f>
        <v>0</v>
      </c>
      <c r="D5" s="45">
        <f>SUM(F24:F35)</f>
        <v>0</v>
      </c>
      <c r="E5" s="45">
        <f>SUM(F36:F47)</f>
        <v>0</v>
      </c>
      <c r="F5" s="45">
        <f>SUM(F48:F59)</f>
        <v>0</v>
      </c>
      <c r="G5" s="45">
        <f>SUM(F60:F71)</f>
        <v>0</v>
      </c>
    </row>
    <row r="7" spans="1:7">
      <c r="B7" s="54" t="s">
        <v>123</v>
      </c>
      <c r="C7" s="55">
        <f>((1+Datos!D33)^(1/12))-1</f>
        <v>1.3709250564416076E-2</v>
      </c>
    </row>
    <row r="8" spans="1:7">
      <c r="B8" s="56" t="s">
        <v>124</v>
      </c>
      <c r="C8" s="106">
        <f>Datos!D34</f>
        <v>36</v>
      </c>
    </row>
    <row r="10" spans="1:7">
      <c r="A10" s="59" t="s">
        <v>125</v>
      </c>
      <c r="B10" s="43" t="s">
        <v>85</v>
      </c>
      <c r="C10" s="42" t="s">
        <v>120</v>
      </c>
      <c r="D10" s="42" t="s">
        <v>121</v>
      </c>
      <c r="E10" s="42" t="s">
        <v>118</v>
      </c>
      <c r="F10" s="42" t="s">
        <v>119</v>
      </c>
      <c r="G10" s="42" t="s">
        <v>122</v>
      </c>
    </row>
    <row r="11" spans="1:7">
      <c r="A11" s="59">
        <v>0</v>
      </c>
      <c r="B11" s="43" t="s">
        <v>128</v>
      </c>
      <c r="C11" s="58">
        <f>'Flujo de efectivo'!C18</f>
        <v>0</v>
      </c>
      <c r="D11" s="42">
        <v>0</v>
      </c>
      <c r="E11" s="42">
        <v>0</v>
      </c>
      <c r="F11" s="42">
        <v>0</v>
      </c>
      <c r="G11" s="58">
        <f>C11-F11</f>
        <v>0</v>
      </c>
    </row>
    <row r="12" spans="1:7">
      <c r="A12" s="59">
        <v>1</v>
      </c>
      <c r="B12" s="43" t="s">
        <v>86</v>
      </c>
      <c r="C12" s="45">
        <f>G11</f>
        <v>0</v>
      </c>
      <c r="D12" s="45">
        <f>-PMT($C$7,$C$8,$C$12,)</f>
        <v>0</v>
      </c>
      <c r="E12" s="45">
        <f>$C$7*C12</f>
        <v>0</v>
      </c>
      <c r="F12" s="45">
        <f>D12-E12</f>
        <v>0</v>
      </c>
      <c r="G12" s="45">
        <f>C12-F12</f>
        <v>0</v>
      </c>
    </row>
    <row r="13" spans="1:7">
      <c r="A13" s="59">
        <v>2</v>
      </c>
      <c r="B13" s="43" t="s">
        <v>87</v>
      </c>
      <c r="C13" s="45">
        <f t="shared" ref="C13:C22" si="0">G12</f>
        <v>0</v>
      </c>
      <c r="D13" s="45">
        <f t="shared" ref="D13:D71" si="1">-PMT($C$7,$C$8,$C$12,)</f>
        <v>0</v>
      </c>
      <c r="E13" s="45">
        <f t="shared" ref="E13:E71" si="2">$C$7*C13</f>
        <v>0</v>
      </c>
      <c r="F13" s="45">
        <f>D13-E13</f>
        <v>0</v>
      </c>
      <c r="G13" s="45">
        <f t="shared" ref="G13:G71" si="3">C13-F13</f>
        <v>0</v>
      </c>
    </row>
    <row r="14" spans="1:7">
      <c r="A14" s="59">
        <v>3</v>
      </c>
      <c r="B14" s="43" t="s">
        <v>88</v>
      </c>
      <c r="C14" s="45">
        <f t="shared" si="0"/>
        <v>0</v>
      </c>
      <c r="D14" s="45">
        <f t="shared" si="1"/>
        <v>0</v>
      </c>
      <c r="E14" s="45">
        <f t="shared" si="2"/>
        <v>0</v>
      </c>
      <c r="F14" s="45">
        <f t="shared" ref="F14:F71" si="4">D14-E14</f>
        <v>0</v>
      </c>
      <c r="G14" s="45">
        <f t="shared" si="3"/>
        <v>0</v>
      </c>
    </row>
    <row r="15" spans="1:7">
      <c r="A15" s="59">
        <v>4</v>
      </c>
      <c r="B15" s="43" t="s">
        <v>89</v>
      </c>
      <c r="C15" s="45">
        <f t="shared" si="0"/>
        <v>0</v>
      </c>
      <c r="D15" s="45">
        <f t="shared" si="1"/>
        <v>0</v>
      </c>
      <c r="E15" s="45">
        <f t="shared" si="2"/>
        <v>0</v>
      </c>
      <c r="F15" s="45">
        <f t="shared" si="4"/>
        <v>0</v>
      </c>
      <c r="G15" s="45">
        <f t="shared" si="3"/>
        <v>0</v>
      </c>
    </row>
    <row r="16" spans="1:7">
      <c r="A16" s="59">
        <v>5</v>
      </c>
      <c r="B16" s="43" t="s">
        <v>90</v>
      </c>
      <c r="C16" s="45">
        <f t="shared" si="0"/>
        <v>0</v>
      </c>
      <c r="D16" s="45">
        <f t="shared" si="1"/>
        <v>0</v>
      </c>
      <c r="E16" s="45">
        <f t="shared" si="2"/>
        <v>0</v>
      </c>
      <c r="F16" s="45">
        <f t="shared" si="4"/>
        <v>0</v>
      </c>
      <c r="G16" s="45">
        <f t="shared" si="3"/>
        <v>0</v>
      </c>
    </row>
    <row r="17" spans="1:7">
      <c r="A17" s="59">
        <v>6</v>
      </c>
      <c r="B17" s="43" t="s">
        <v>91</v>
      </c>
      <c r="C17" s="45">
        <f t="shared" si="0"/>
        <v>0</v>
      </c>
      <c r="D17" s="45">
        <f t="shared" si="1"/>
        <v>0</v>
      </c>
      <c r="E17" s="45">
        <f t="shared" si="2"/>
        <v>0</v>
      </c>
      <c r="F17" s="45">
        <f t="shared" si="4"/>
        <v>0</v>
      </c>
      <c r="G17" s="45">
        <f t="shared" si="3"/>
        <v>0</v>
      </c>
    </row>
    <row r="18" spans="1:7">
      <c r="A18" s="59">
        <v>7</v>
      </c>
      <c r="B18" s="43" t="s">
        <v>92</v>
      </c>
      <c r="C18" s="45">
        <f t="shared" si="0"/>
        <v>0</v>
      </c>
      <c r="D18" s="45">
        <f t="shared" si="1"/>
        <v>0</v>
      </c>
      <c r="E18" s="45">
        <f t="shared" si="2"/>
        <v>0</v>
      </c>
      <c r="F18" s="45">
        <f t="shared" si="4"/>
        <v>0</v>
      </c>
      <c r="G18" s="45">
        <f t="shared" si="3"/>
        <v>0</v>
      </c>
    </row>
    <row r="19" spans="1:7">
      <c r="A19" s="59">
        <v>8</v>
      </c>
      <c r="B19" s="43" t="s">
        <v>93</v>
      </c>
      <c r="C19" s="45">
        <f t="shared" si="0"/>
        <v>0</v>
      </c>
      <c r="D19" s="45">
        <f t="shared" si="1"/>
        <v>0</v>
      </c>
      <c r="E19" s="45">
        <f t="shared" si="2"/>
        <v>0</v>
      </c>
      <c r="F19" s="45">
        <f t="shared" si="4"/>
        <v>0</v>
      </c>
      <c r="G19" s="45">
        <f t="shared" si="3"/>
        <v>0</v>
      </c>
    </row>
    <row r="20" spans="1:7">
      <c r="A20" s="59">
        <v>9</v>
      </c>
      <c r="B20" s="43" t="s">
        <v>94</v>
      </c>
      <c r="C20" s="45">
        <f t="shared" si="0"/>
        <v>0</v>
      </c>
      <c r="D20" s="45">
        <f t="shared" si="1"/>
        <v>0</v>
      </c>
      <c r="E20" s="45">
        <f t="shared" si="2"/>
        <v>0</v>
      </c>
      <c r="F20" s="45">
        <f t="shared" si="4"/>
        <v>0</v>
      </c>
      <c r="G20" s="45">
        <f t="shared" si="3"/>
        <v>0</v>
      </c>
    </row>
    <row r="21" spans="1:7">
      <c r="A21" s="59">
        <v>10</v>
      </c>
      <c r="B21" s="43" t="s">
        <v>95</v>
      </c>
      <c r="C21" s="45">
        <f t="shared" si="0"/>
        <v>0</v>
      </c>
      <c r="D21" s="45">
        <f t="shared" si="1"/>
        <v>0</v>
      </c>
      <c r="E21" s="45">
        <f t="shared" si="2"/>
        <v>0</v>
      </c>
      <c r="F21" s="45">
        <f t="shared" si="4"/>
        <v>0</v>
      </c>
      <c r="G21" s="45">
        <f t="shared" si="3"/>
        <v>0</v>
      </c>
    </row>
    <row r="22" spans="1:7">
      <c r="A22" s="59">
        <v>11</v>
      </c>
      <c r="B22" s="43" t="s">
        <v>96</v>
      </c>
      <c r="C22" s="45">
        <f t="shared" si="0"/>
        <v>0</v>
      </c>
      <c r="D22" s="45">
        <f t="shared" si="1"/>
        <v>0</v>
      </c>
      <c r="E22" s="45">
        <f t="shared" si="2"/>
        <v>0</v>
      </c>
      <c r="F22" s="45">
        <f t="shared" si="4"/>
        <v>0</v>
      </c>
      <c r="G22" s="45">
        <f t="shared" si="3"/>
        <v>0</v>
      </c>
    </row>
    <row r="23" spans="1:7">
      <c r="A23" s="59">
        <v>12</v>
      </c>
      <c r="B23" s="43" t="s">
        <v>97</v>
      </c>
      <c r="C23" s="45">
        <f>G22</f>
        <v>0</v>
      </c>
      <c r="D23" s="45">
        <f t="shared" si="1"/>
        <v>0</v>
      </c>
      <c r="E23" s="45">
        <f t="shared" si="2"/>
        <v>0</v>
      </c>
      <c r="F23" s="45">
        <f t="shared" si="4"/>
        <v>0</v>
      </c>
      <c r="G23" s="45">
        <f t="shared" si="3"/>
        <v>0</v>
      </c>
    </row>
    <row r="24" spans="1:7">
      <c r="A24" s="59">
        <v>13</v>
      </c>
      <c r="B24" s="43" t="s">
        <v>86</v>
      </c>
      <c r="C24" s="45">
        <f t="shared" ref="C24:C71" si="5">G23</f>
        <v>0</v>
      </c>
      <c r="D24" s="45">
        <f t="shared" si="1"/>
        <v>0</v>
      </c>
      <c r="E24" s="45">
        <f t="shared" si="2"/>
        <v>0</v>
      </c>
      <c r="F24" s="45">
        <f t="shared" si="4"/>
        <v>0</v>
      </c>
      <c r="G24" s="45">
        <f t="shared" si="3"/>
        <v>0</v>
      </c>
    </row>
    <row r="25" spans="1:7">
      <c r="A25" s="59">
        <v>14</v>
      </c>
      <c r="B25" s="43" t="s">
        <v>87</v>
      </c>
      <c r="C25" s="45">
        <f t="shared" si="5"/>
        <v>0</v>
      </c>
      <c r="D25" s="45">
        <f t="shared" si="1"/>
        <v>0</v>
      </c>
      <c r="E25" s="45">
        <f t="shared" si="2"/>
        <v>0</v>
      </c>
      <c r="F25" s="45">
        <f t="shared" si="4"/>
        <v>0</v>
      </c>
      <c r="G25" s="45">
        <f t="shared" si="3"/>
        <v>0</v>
      </c>
    </row>
    <row r="26" spans="1:7">
      <c r="A26" s="59">
        <v>15</v>
      </c>
      <c r="B26" s="43" t="s">
        <v>88</v>
      </c>
      <c r="C26" s="45">
        <f t="shared" si="5"/>
        <v>0</v>
      </c>
      <c r="D26" s="45">
        <f t="shared" si="1"/>
        <v>0</v>
      </c>
      <c r="E26" s="45">
        <f t="shared" si="2"/>
        <v>0</v>
      </c>
      <c r="F26" s="45">
        <f t="shared" si="4"/>
        <v>0</v>
      </c>
      <c r="G26" s="45">
        <f t="shared" si="3"/>
        <v>0</v>
      </c>
    </row>
    <row r="27" spans="1:7">
      <c r="A27" s="59">
        <v>16</v>
      </c>
      <c r="B27" s="43" t="s">
        <v>89</v>
      </c>
      <c r="C27" s="45">
        <f t="shared" si="5"/>
        <v>0</v>
      </c>
      <c r="D27" s="45">
        <f t="shared" si="1"/>
        <v>0</v>
      </c>
      <c r="E27" s="45">
        <f t="shared" si="2"/>
        <v>0</v>
      </c>
      <c r="F27" s="45">
        <f t="shared" si="4"/>
        <v>0</v>
      </c>
      <c r="G27" s="45">
        <f t="shared" si="3"/>
        <v>0</v>
      </c>
    </row>
    <row r="28" spans="1:7">
      <c r="A28" s="59">
        <v>17</v>
      </c>
      <c r="B28" s="43" t="s">
        <v>90</v>
      </c>
      <c r="C28" s="45">
        <f t="shared" si="5"/>
        <v>0</v>
      </c>
      <c r="D28" s="45">
        <f t="shared" si="1"/>
        <v>0</v>
      </c>
      <c r="E28" s="45">
        <f t="shared" si="2"/>
        <v>0</v>
      </c>
      <c r="F28" s="45">
        <f t="shared" si="4"/>
        <v>0</v>
      </c>
      <c r="G28" s="45">
        <f t="shared" si="3"/>
        <v>0</v>
      </c>
    </row>
    <row r="29" spans="1:7">
      <c r="A29" s="59">
        <v>18</v>
      </c>
      <c r="B29" s="43" t="s">
        <v>91</v>
      </c>
      <c r="C29" s="45">
        <f t="shared" si="5"/>
        <v>0</v>
      </c>
      <c r="D29" s="45">
        <f t="shared" si="1"/>
        <v>0</v>
      </c>
      <c r="E29" s="45">
        <f t="shared" si="2"/>
        <v>0</v>
      </c>
      <c r="F29" s="45">
        <f t="shared" si="4"/>
        <v>0</v>
      </c>
      <c r="G29" s="45">
        <f t="shared" si="3"/>
        <v>0</v>
      </c>
    </row>
    <row r="30" spans="1:7">
      <c r="A30" s="59">
        <v>19</v>
      </c>
      <c r="B30" s="43" t="s">
        <v>92</v>
      </c>
      <c r="C30" s="45">
        <f t="shared" si="5"/>
        <v>0</v>
      </c>
      <c r="D30" s="45">
        <f t="shared" si="1"/>
        <v>0</v>
      </c>
      <c r="E30" s="45">
        <f t="shared" si="2"/>
        <v>0</v>
      </c>
      <c r="F30" s="45">
        <f t="shared" si="4"/>
        <v>0</v>
      </c>
      <c r="G30" s="45">
        <f t="shared" si="3"/>
        <v>0</v>
      </c>
    </row>
    <row r="31" spans="1:7">
      <c r="A31" s="59">
        <v>20</v>
      </c>
      <c r="B31" s="43" t="s">
        <v>93</v>
      </c>
      <c r="C31" s="45">
        <f t="shared" si="5"/>
        <v>0</v>
      </c>
      <c r="D31" s="45">
        <f t="shared" si="1"/>
        <v>0</v>
      </c>
      <c r="E31" s="45">
        <f t="shared" si="2"/>
        <v>0</v>
      </c>
      <c r="F31" s="45">
        <f t="shared" si="4"/>
        <v>0</v>
      </c>
      <c r="G31" s="45">
        <f t="shared" si="3"/>
        <v>0</v>
      </c>
    </row>
    <row r="32" spans="1:7">
      <c r="A32" s="59">
        <v>21</v>
      </c>
      <c r="B32" s="43" t="s">
        <v>94</v>
      </c>
      <c r="C32" s="45">
        <f t="shared" si="5"/>
        <v>0</v>
      </c>
      <c r="D32" s="45">
        <f t="shared" si="1"/>
        <v>0</v>
      </c>
      <c r="E32" s="45">
        <f t="shared" si="2"/>
        <v>0</v>
      </c>
      <c r="F32" s="45">
        <f t="shared" si="4"/>
        <v>0</v>
      </c>
      <c r="G32" s="45">
        <f t="shared" si="3"/>
        <v>0</v>
      </c>
    </row>
    <row r="33" spans="1:7">
      <c r="A33" s="59">
        <v>22</v>
      </c>
      <c r="B33" s="43" t="s">
        <v>95</v>
      </c>
      <c r="C33" s="45">
        <f t="shared" si="5"/>
        <v>0</v>
      </c>
      <c r="D33" s="45">
        <f t="shared" si="1"/>
        <v>0</v>
      </c>
      <c r="E33" s="45">
        <f t="shared" si="2"/>
        <v>0</v>
      </c>
      <c r="F33" s="45">
        <f t="shared" si="4"/>
        <v>0</v>
      </c>
      <c r="G33" s="45">
        <f t="shared" si="3"/>
        <v>0</v>
      </c>
    </row>
    <row r="34" spans="1:7">
      <c r="A34" s="59">
        <v>23</v>
      </c>
      <c r="B34" s="43" t="s">
        <v>96</v>
      </c>
      <c r="C34" s="45">
        <f t="shared" si="5"/>
        <v>0</v>
      </c>
      <c r="D34" s="45">
        <f t="shared" si="1"/>
        <v>0</v>
      </c>
      <c r="E34" s="45">
        <f t="shared" si="2"/>
        <v>0</v>
      </c>
      <c r="F34" s="45">
        <f t="shared" si="4"/>
        <v>0</v>
      </c>
      <c r="G34" s="45">
        <f t="shared" si="3"/>
        <v>0</v>
      </c>
    </row>
    <row r="35" spans="1:7">
      <c r="A35" s="59">
        <v>24</v>
      </c>
      <c r="B35" s="43" t="s">
        <v>97</v>
      </c>
      <c r="C35" s="45">
        <f t="shared" si="5"/>
        <v>0</v>
      </c>
      <c r="D35" s="45">
        <f t="shared" si="1"/>
        <v>0</v>
      </c>
      <c r="E35" s="45">
        <f t="shared" si="2"/>
        <v>0</v>
      </c>
      <c r="F35" s="45">
        <f t="shared" si="4"/>
        <v>0</v>
      </c>
      <c r="G35" s="45">
        <f t="shared" si="3"/>
        <v>0</v>
      </c>
    </row>
    <row r="36" spans="1:7">
      <c r="A36" s="59">
        <v>25</v>
      </c>
      <c r="B36" s="43" t="s">
        <v>86</v>
      </c>
      <c r="C36" s="45">
        <f t="shared" si="5"/>
        <v>0</v>
      </c>
      <c r="D36" s="45">
        <f t="shared" si="1"/>
        <v>0</v>
      </c>
      <c r="E36" s="45">
        <f t="shared" si="2"/>
        <v>0</v>
      </c>
      <c r="F36" s="45">
        <f t="shared" si="4"/>
        <v>0</v>
      </c>
      <c r="G36" s="45">
        <f t="shared" si="3"/>
        <v>0</v>
      </c>
    </row>
    <row r="37" spans="1:7">
      <c r="A37" s="59">
        <v>26</v>
      </c>
      <c r="B37" s="43" t="s">
        <v>87</v>
      </c>
      <c r="C37" s="45">
        <f t="shared" si="5"/>
        <v>0</v>
      </c>
      <c r="D37" s="45">
        <f t="shared" si="1"/>
        <v>0</v>
      </c>
      <c r="E37" s="45">
        <f t="shared" si="2"/>
        <v>0</v>
      </c>
      <c r="F37" s="45">
        <f t="shared" si="4"/>
        <v>0</v>
      </c>
      <c r="G37" s="45">
        <f t="shared" si="3"/>
        <v>0</v>
      </c>
    </row>
    <row r="38" spans="1:7">
      <c r="A38" s="59">
        <v>27</v>
      </c>
      <c r="B38" s="43" t="s">
        <v>88</v>
      </c>
      <c r="C38" s="45">
        <f t="shared" si="5"/>
        <v>0</v>
      </c>
      <c r="D38" s="45">
        <f t="shared" si="1"/>
        <v>0</v>
      </c>
      <c r="E38" s="45">
        <f t="shared" si="2"/>
        <v>0</v>
      </c>
      <c r="F38" s="45">
        <f t="shared" si="4"/>
        <v>0</v>
      </c>
      <c r="G38" s="45">
        <f t="shared" si="3"/>
        <v>0</v>
      </c>
    </row>
    <row r="39" spans="1:7">
      <c r="A39" s="59">
        <v>28</v>
      </c>
      <c r="B39" s="43" t="s">
        <v>89</v>
      </c>
      <c r="C39" s="45">
        <f t="shared" si="5"/>
        <v>0</v>
      </c>
      <c r="D39" s="45">
        <f t="shared" si="1"/>
        <v>0</v>
      </c>
      <c r="E39" s="45">
        <f t="shared" si="2"/>
        <v>0</v>
      </c>
      <c r="F39" s="45">
        <f t="shared" si="4"/>
        <v>0</v>
      </c>
      <c r="G39" s="45">
        <f t="shared" si="3"/>
        <v>0</v>
      </c>
    </row>
    <row r="40" spans="1:7">
      <c r="A40" s="59">
        <v>29</v>
      </c>
      <c r="B40" s="43" t="s">
        <v>90</v>
      </c>
      <c r="C40" s="45">
        <f t="shared" si="5"/>
        <v>0</v>
      </c>
      <c r="D40" s="45">
        <f t="shared" si="1"/>
        <v>0</v>
      </c>
      <c r="E40" s="45">
        <f t="shared" si="2"/>
        <v>0</v>
      </c>
      <c r="F40" s="45">
        <f t="shared" si="4"/>
        <v>0</v>
      </c>
      <c r="G40" s="45">
        <f t="shared" si="3"/>
        <v>0</v>
      </c>
    </row>
    <row r="41" spans="1:7">
      <c r="A41" s="59">
        <v>30</v>
      </c>
      <c r="B41" s="43" t="s">
        <v>91</v>
      </c>
      <c r="C41" s="45">
        <f t="shared" si="5"/>
        <v>0</v>
      </c>
      <c r="D41" s="45">
        <f t="shared" si="1"/>
        <v>0</v>
      </c>
      <c r="E41" s="45">
        <f t="shared" si="2"/>
        <v>0</v>
      </c>
      <c r="F41" s="45">
        <f t="shared" si="4"/>
        <v>0</v>
      </c>
      <c r="G41" s="45">
        <f t="shared" si="3"/>
        <v>0</v>
      </c>
    </row>
    <row r="42" spans="1:7">
      <c r="A42" s="59">
        <v>31</v>
      </c>
      <c r="B42" s="43" t="s">
        <v>92</v>
      </c>
      <c r="C42" s="45">
        <f t="shared" si="5"/>
        <v>0</v>
      </c>
      <c r="D42" s="45">
        <f t="shared" si="1"/>
        <v>0</v>
      </c>
      <c r="E42" s="45">
        <f t="shared" si="2"/>
        <v>0</v>
      </c>
      <c r="F42" s="45">
        <f t="shared" si="4"/>
        <v>0</v>
      </c>
      <c r="G42" s="45">
        <f t="shared" si="3"/>
        <v>0</v>
      </c>
    </row>
    <row r="43" spans="1:7">
      <c r="A43" s="59">
        <v>32</v>
      </c>
      <c r="B43" s="43" t="s">
        <v>93</v>
      </c>
      <c r="C43" s="45">
        <f t="shared" si="5"/>
        <v>0</v>
      </c>
      <c r="D43" s="45">
        <f t="shared" si="1"/>
        <v>0</v>
      </c>
      <c r="E43" s="45">
        <f t="shared" si="2"/>
        <v>0</v>
      </c>
      <c r="F43" s="45">
        <f t="shared" si="4"/>
        <v>0</v>
      </c>
      <c r="G43" s="45">
        <f t="shared" si="3"/>
        <v>0</v>
      </c>
    </row>
    <row r="44" spans="1:7">
      <c r="A44" s="59">
        <v>33</v>
      </c>
      <c r="B44" s="43" t="s">
        <v>94</v>
      </c>
      <c r="C44" s="45">
        <f t="shared" si="5"/>
        <v>0</v>
      </c>
      <c r="D44" s="45">
        <f t="shared" si="1"/>
        <v>0</v>
      </c>
      <c r="E44" s="45">
        <f t="shared" si="2"/>
        <v>0</v>
      </c>
      <c r="F44" s="45">
        <f t="shared" si="4"/>
        <v>0</v>
      </c>
      <c r="G44" s="45">
        <f t="shared" si="3"/>
        <v>0</v>
      </c>
    </row>
    <row r="45" spans="1:7">
      <c r="A45" s="59">
        <v>34</v>
      </c>
      <c r="B45" s="43" t="s">
        <v>95</v>
      </c>
      <c r="C45" s="45">
        <f t="shared" si="5"/>
        <v>0</v>
      </c>
      <c r="D45" s="45">
        <f t="shared" si="1"/>
        <v>0</v>
      </c>
      <c r="E45" s="45">
        <f t="shared" si="2"/>
        <v>0</v>
      </c>
      <c r="F45" s="45">
        <f t="shared" si="4"/>
        <v>0</v>
      </c>
      <c r="G45" s="45">
        <f t="shared" si="3"/>
        <v>0</v>
      </c>
    </row>
    <row r="46" spans="1:7">
      <c r="A46" s="59">
        <v>35</v>
      </c>
      <c r="B46" s="43" t="s">
        <v>96</v>
      </c>
      <c r="C46" s="45">
        <f t="shared" si="5"/>
        <v>0</v>
      </c>
      <c r="D46" s="45">
        <f t="shared" si="1"/>
        <v>0</v>
      </c>
      <c r="E46" s="45">
        <f t="shared" si="2"/>
        <v>0</v>
      </c>
      <c r="F46" s="45">
        <f t="shared" si="4"/>
        <v>0</v>
      </c>
      <c r="G46" s="45">
        <f t="shared" si="3"/>
        <v>0</v>
      </c>
    </row>
    <row r="47" spans="1:7">
      <c r="A47" s="59">
        <v>36</v>
      </c>
      <c r="B47" s="43" t="s">
        <v>97</v>
      </c>
      <c r="C47" s="45">
        <f t="shared" si="5"/>
        <v>0</v>
      </c>
      <c r="D47" s="45">
        <f t="shared" si="1"/>
        <v>0</v>
      </c>
      <c r="E47" s="45">
        <f t="shared" si="2"/>
        <v>0</v>
      </c>
      <c r="F47" s="45">
        <f t="shared" si="4"/>
        <v>0</v>
      </c>
      <c r="G47" s="45">
        <f t="shared" si="3"/>
        <v>0</v>
      </c>
    </row>
    <row r="48" spans="1:7">
      <c r="A48" s="59">
        <v>37</v>
      </c>
      <c r="B48" s="43" t="s">
        <v>86</v>
      </c>
      <c r="C48" s="45">
        <f t="shared" si="5"/>
        <v>0</v>
      </c>
      <c r="D48" s="45">
        <f t="shared" si="1"/>
        <v>0</v>
      </c>
      <c r="E48" s="45">
        <f t="shared" si="2"/>
        <v>0</v>
      </c>
      <c r="F48" s="45">
        <f t="shared" si="4"/>
        <v>0</v>
      </c>
      <c r="G48" s="45">
        <f t="shared" si="3"/>
        <v>0</v>
      </c>
    </row>
    <row r="49" spans="1:7">
      <c r="A49" s="59">
        <v>38</v>
      </c>
      <c r="B49" s="43" t="s">
        <v>87</v>
      </c>
      <c r="C49" s="45">
        <f t="shared" si="5"/>
        <v>0</v>
      </c>
      <c r="D49" s="45">
        <f t="shared" si="1"/>
        <v>0</v>
      </c>
      <c r="E49" s="45">
        <f t="shared" si="2"/>
        <v>0</v>
      </c>
      <c r="F49" s="45">
        <f t="shared" si="4"/>
        <v>0</v>
      </c>
      <c r="G49" s="45">
        <f t="shared" si="3"/>
        <v>0</v>
      </c>
    </row>
    <row r="50" spans="1:7">
      <c r="A50" s="59">
        <v>39</v>
      </c>
      <c r="B50" s="43" t="s">
        <v>88</v>
      </c>
      <c r="C50" s="45">
        <f t="shared" si="5"/>
        <v>0</v>
      </c>
      <c r="D50" s="45">
        <f t="shared" si="1"/>
        <v>0</v>
      </c>
      <c r="E50" s="45">
        <f t="shared" si="2"/>
        <v>0</v>
      </c>
      <c r="F50" s="45">
        <f t="shared" si="4"/>
        <v>0</v>
      </c>
      <c r="G50" s="45">
        <f t="shared" si="3"/>
        <v>0</v>
      </c>
    </row>
    <row r="51" spans="1:7">
      <c r="A51" s="59">
        <v>40</v>
      </c>
      <c r="B51" s="43" t="s">
        <v>89</v>
      </c>
      <c r="C51" s="45">
        <f t="shared" si="5"/>
        <v>0</v>
      </c>
      <c r="D51" s="45">
        <f t="shared" si="1"/>
        <v>0</v>
      </c>
      <c r="E51" s="45">
        <f t="shared" si="2"/>
        <v>0</v>
      </c>
      <c r="F51" s="45">
        <f t="shared" si="4"/>
        <v>0</v>
      </c>
      <c r="G51" s="45">
        <f t="shared" si="3"/>
        <v>0</v>
      </c>
    </row>
    <row r="52" spans="1:7">
      <c r="A52" s="59">
        <v>41</v>
      </c>
      <c r="B52" s="43" t="s">
        <v>90</v>
      </c>
      <c r="C52" s="45">
        <f t="shared" si="5"/>
        <v>0</v>
      </c>
      <c r="D52" s="45">
        <f t="shared" si="1"/>
        <v>0</v>
      </c>
      <c r="E52" s="45">
        <f t="shared" si="2"/>
        <v>0</v>
      </c>
      <c r="F52" s="45">
        <f t="shared" si="4"/>
        <v>0</v>
      </c>
      <c r="G52" s="45">
        <f t="shared" si="3"/>
        <v>0</v>
      </c>
    </row>
    <row r="53" spans="1:7">
      <c r="A53" s="59">
        <v>42</v>
      </c>
      <c r="B53" s="43" t="s">
        <v>91</v>
      </c>
      <c r="C53" s="45">
        <f t="shared" si="5"/>
        <v>0</v>
      </c>
      <c r="D53" s="45">
        <f t="shared" si="1"/>
        <v>0</v>
      </c>
      <c r="E53" s="45">
        <f t="shared" si="2"/>
        <v>0</v>
      </c>
      <c r="F53" s="45">
        <f t="shared" si="4"/>
        <v>0</v>
      </c>
      <c r="G53" s="45">
        <f t="shared" si="3"/>
        <v>0</v>
      </c>
    </row>
    <row r="54" spans="1:7">
      <c r="A54" s="59">
        <v>43</v>
      </c>
      <c r="B54" s="43" t="s">
        <v>92</v>
      </c>
      <c r="C54" s="45">
        <f t="shared" si="5"/>
        <v>0</v>
      </c>
      <c r="D54" s="45">
        <f t="shared" si="1"/>
        <v>0</v>
      </c>
      <c r="E54" s="45">
        <f t="shared" si="2"/>
        <v>0</v>
      </c>
      <c r="F54" s="45">
        <f t="shared" si="4"/>
        <v>0</v>
      </c>
      <c r="G54" s="45">
        <f t="shared" si="3"/>
        <v>0</v>
      </c>
    </row>
    <row r="55" spans="1:7">
      <c r="A55" s="59">
        <v>44</v>
      </c>
      <c r="B55" s="43" t="s">
        <v>93</v>
      </c>
      <c r="C55" s="45">
        <f t="shared" si="5"/>
        <v>0</v>
      </c>
      <c r="D55" s="45">
        <f t="shared" si="1"/>
        <v>0</v>
      </c>
      <c r="E55" s="45">
        <f t="shared" si="2"/>
        <v>0</v>
      </c>
      <c r="F55" s="45">
        <f t="shared" si="4"/>
        <v>0</v>
      </c>
      <c r="G55" s="45">
        <f t="shared" si="3"/>
        <v>0</v>
      </c>
    </row>
    <row r="56" spans="1:7">
      <c r="A56" s="59">
        <v>45</v>
      </c>
      <c r="B56" s="43" t="s">
        <v>94</v>
      </c>
      <c r="C56" s="45">
        <f t="shared" si="5"/>
        <v>0</v>
      </c>
      <c r="D56" s="45">
        <f t="shared" si="1"/>
        <v>0</v>
      </c>
      <c r="E56" s="45">
        <f t="shared" si="2"/>
        <v>0</v>
      </c>
      <c r="F56" s="45">
        <f t="shared" si="4"/>
        <v>0</v>
      </c>
      <c r="G56" s="45">
        <f t="shared" si="3"/>
        <v>0</v>
      </c>
    </row>
    <row r="57" spans="1:7">
      <c r="A57" s="59">
        <v>46</v>
      </c>
      <c r="B57" s="43" t="s">
        <v>95</v>
      </c>
      <c r="C57" s="45">
        <f t="shared" si="5"/>
        <v>0</v>
      </c>
      <c r="D57" s="45">
        <f t="shared" si="1"/>
        <v>0</v>
      </c>
      <c r="E57" s="45">
        <f t="shared" si="2"/>
        <v>0</v>
      </c>
      <c r="F57" s="45">
        <f t="shared" si="4"/>
        <v>0</v>
      </c>
      <c r="G57" s="45">
        <f t="shared" si="3"/>
        <v>0</v>
      </c>
    </row>
    <row r="58" spans="1:7">
      <c r="A58" s="59">
        <v>47</v>
      </c>
      <c r="B58" s="43" t="s">
        <v>96</v>
      </c>
      <c r="C58" s="45">
        <f t="shared" si="5"/>
        <v>0</v>
      </c>
      <c r="D58" s="45">
        <f t="shared" si="1"/>
        <v>0</v>
      </c>
      <c r="E58" s="45">
        <f t="shared" si="2"/>
        <v>0</v>
      </c>
      <c r="F58" s="45">
        <f t="shared" si="4"/>
        <v>0</v>
      </c>
      <c r="G58" s="45">
        <f t="shared" si="3"/>
        <v>0</v>
      </c>
    </row>
    <row r="59" spans="1:7">
      <c r="A59" s="59">
        <v>48</v>
      </c>
      <c r="B59" s="43" t="s">
        <v>97</v>
      </c>
      <c r="C59" s="45">
        <f t="shared" si="5"/>
        <v>0</v>
      </c>
      <c r="D59" s="45">
        <f t="shared" si="1"/>
        <v>0</v>
      </c>
      <c r="E59" s="45">
        <f t="shared" si="2"/>
        <v>0</v>
      </c>
      <c r="F59" s="45">
        <f t="shared" si="4"/>
        <v>0</v>
      </c>
      <c r="G59" s="45">
        <f t="shared" si="3"/>
        <v>0</v>
      </c>
    </row>
    <row r="60" spans="1:7">
      <c r="A60" s="59">
        <v>49</v>
      </c>
      <c r="B60" s="43" t="s">
        <v>86</v>
      </c>
      <c r="C60" s="45">
        <f t="shared" si="5"/>
        <v>0</v>
      </c>
      <c r="D60" s="45">
        <f t="shared" si="1"/>
        <v>0</v>
      </c>
      <c r="E60" s="45">
        <f t="shared" si="2"/>
        <v>0</v>
      </c>
      <c r="F60" s="45">
        <f t="shared" si="4"/>
        <v>0</v>
      </c>
      <c r="G60" s="45">
        <f t="shared" si="3"/>
        <v>0</v>
      </c>
    </row>
    <row r="61" spans="1:7">
      <c r="A61" s="59">
        <v>50</v>
      </c>
      <c r="B61" s="43" t="s">
        <v>87</v>
      </c>
      <c r="C61" s="45">
        <f t="shared" si="5"/>
        <v>0</v>
      </c>
      <c r="D61" s="45">
        <f t="shared" si="1"/>
        <v>0</v>
      </c>
      <c r="E61" s="45">
        <f t="shared" si="2"/>
        <v>0</v>
      </c>
      <c r="F61" s="45">
        <f t="shared" si="4"/>
        <v>0</v>
      </c>
      <c r="G61" s="45">
        <f t="shared" si="3"/>
        <v>0</v>
      </c>
    </row>
    <row r="62" spans="1:7">
      <c r="A62" s="59">
        <v>51</v>
      </c>
      <c r="B62" s="43" t="s">
        <v>88</v>
      </c>
      <c r="C62" s="45">
        <f t="shared" si="5"/>
        <v>0</v>
      </c>
      <c r="D62" s="45">
        <f t="shared" si="1"/>
        <v>0</v>
      </c>
      <c r="E62" s="45">
        <f t="shared" si="2"/>
        <v>0</v>
      </c>
      <c r="F62" s="45">
        <f t="shared" si="4"/>
        <v>0</v>
      </c>
      <c r="G62" s="45">
        <f t="shared" si="3"/>
        <v>0</v>
      </c>
    </row>
    <row r="63" spans="1:7">
      <c r="A63" s="59">
        <v>52</v>
      </c>
      <c r="B63" s="43" t="s">
        <v>89</v>
      </c>
      <c r="C63" s="45">
        <f t="shared" si="5"/>
        <v>0</v>
      </c>
      <c r="D63" s="45">
        <f t="shared" si="1"/>
        <v>0</v>
      </c>
      <c r="E63" s="45">
        <f t="shared" si="2"/>
        <v>0</v>
      </c>
      <c r="F63" s="45">
        <f t="shared" si="4"/>
        <v>0</v>
      </c>
      <c r="G63" s="45">
        <f t="shared" si="3"/>
        <v>0</v>
      </c>
    </row>
    <row r="64" spans="1:7">
      <c r="A64" s="59">
        <v>53</v>
      </c>
      <c r="B64" s="43" t="s">
        <v>90</v>
      </c>
      <c r="C64" s="45">
        <f t="shared" si="5"/>
        <v>0</v>
      </c>
      <c r="D64" s="45">
        <f t="shared" si="1"/>
        <v>0</v>
      </c>
      <c r="E64" s="45">
        <f t="shared" si="2"/>
        <v>0</v>
      </c>
      <c r="F64" s="45">
        <f t="shared" si="4"/>
        <v>0</v>
      </c>
      <c r="G64" s="45">
        <f t="shared" si="3"/>
        <v>0</v>
      </c>
    </row>
    <row r="65" spans="1:7">
      <c r="A65" s="59">
        <v>54</v>
      </c>
      <c r="B65" s="43" t="s">
        <v>91</v>
      </c>
      <c r="C65" s="45">
        <f t="shared" si="5"/>
        <v>0</v>
      </c>
      <c r="D65" s="45">
        <f t="shared" si="1"/>
        <v>0</v>
      </c>
      <c r="E65" s="45">
        <f t="shared" si="2"/>
        <v>0</v>
      </c>
      <c r="F65" s="45">
        <f t="shared" si="4"/>
        <v>0</v>
      </c>
      <c r="G65" s="45">
        <f t="shared" si="3"/>
        <v>0</v>
      </c>
    </row>
    <row r="66" spans="1:7">
      <c r="A66" s="59">
        <v>55</v>
      </c>
      <c r="B66" s="43" t="s">
        <v>92</v>
      </c>
      <c r="C66" s="45">
        <f t="shared" si="5"/>
        <v>0</v>
      </c>
      <c r="D66" s="45">
        <f t="shared" si="1"/>
        <v>0</v>
      </c>
      <c r="E66" s="45">
        <f t="shared" si="2"/>
        <v>0</v>
      </c>
      <c r="F66" s="45">
        <f t="shared" si="4"/>
        <v>0</v>
      </c>
      <c r="G66" s="45">
        <f t="shared" si="3"/>
        <v>0</v>
      </c>
    </row>
    <row r="67" spans="1:7">
      <c r="A67" s="59">
        <v>56</v>
      </c>
      <c r="B67" s="43" t="s">
        <v>93</v>
      </c>
      <c r="C67" s="45">
        <f t="shared" si="5"/>
        <v>0</v>
      </c>
      <c r="D67" s="45">
        <f t="shared" si="1"/>
        <v>0</v>
      </c>
      <c r="E67" s="45">
        <f t="shared" si="2"/>
        <v>0</v>
      </c>
      <c r="F67" s="45">
        <f t="shared" si="4"/>
        <v>0</v>
      </c>
      <c r="G67" s="45">
        <f t="shared" si="3"/>
        <v>0</v>
      </c>
    </row>
    <row r="68" spans="1:7">
      <c r="A68" s="59">
        <v>57</v>
      </c>
      <c r="B68" s="43" t="s">
        <v>94</v>
      </c>
      <c r="C68" s="45">
        <f t="shared" si="5"/>
        <v>0</v>
      </c>
      <c r="D68" s="45">
        <f t="shared" si="1"/>
        <v>0</v>
      </c>
      <c r="E68" s="45">
        <f t="shared" si="2"/>
        <v>0</v>
      </c>
      <c r="F68" s="45">
        <f t="shared" si="4"/>
        <v>0</v>
      </c>
      <c r="G68" s="45">
        <f t="shared" si="3"/>
        <v>0</v>
      </c>
    </row>
    <row r="69" spans="1:7">
      <c r="A69" s="59">
        <v>58</v>
      </c>
      <c r="B69" s="43" t="s">
        <v>95</v>
      </c>
      <c r="C69" s="45">
        <f t="shared" si="5"/>
        <v>0</v>
      </c>
      <c r="D69" s="45">
        <f t="shared" si="1"/>
        <v>0</v>
      </c>
      <c r="E69" s="45">
        <f t="shared" si="2"/>
        <v>0</v>
      </c>
      <c r="F69" s="45">
        <f t="shared" si="4"/>
        <v>0</v>
      </c>
      <c r="G69" s="45">
        <f t="shared" si="3"/>
        <v>0</v>
      </c>
    </row>
    <row r="70" spans="1:7">
      <c r="A70" s="59">
        <v>59</v>
      </c>
      <c r="B70" s="43" t="s">
        <v>96</v>
      </c>
      <c r="C70" s="45">
        <f t="shared" si="5"/>
        <v>0</v>
      </c>
      <c r="D70" s="45">
        <f t="shared" si="1"/>
        <v>0</v>
      </c>
      <c r="E70" s="45">
        <f t="shared" si="2"/>
        <v>0</v>
      </c>
      <c r="F70" s="45">
        <f t="shared" si="4"/>
        <v>0</v>
      </c>
      <c r="G70" s="45">
        <f t="shared" si="3"/>
        <v>0</v>
      </c>
    </row>
    <row r="71" spans="1:7">
      <c r="A71" s="59">
        <v>60</v>
      </c>
      <c r="B71" s="43" t="s">
        <v>97</v>
      </c>
      <c r="C71" s="45">
        <f t="shared" si="5"/>
        <v>0</v>
      </c>
      <c r="D71" s="45">
        <f t="shared" si="1"/>
        <v>0</v>
      </c>
      <c r="E71" s="45">
        <f t="shared" si="2"/>
        <v>0</v>
      </c>
      <c r="F71" s="45">
        <f t="shared" si="4"/>
        <v>0</v>
      </c>
      <c r="G71" s="45">
        <f t="shared" si="3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03F3-FF31-46F9-914A-4692C577CB5E}">
  <dimension ref="B2:L58"/>
  <sheetViews>
    <sheetView showGridLines="0" zoomScale="70" zoomScaleNormal="70" workbookViewId="0">
      <selection activeCell="B1" sqref="B1"/>
    </sheetView>
  </sheetViews>
  <sheetFormatPr baseColWidth="10" defaultColWidth="11.42578125" defaultRowHeight="12.75"/>
  <cols>
    <col min="1" max="1" width="2.7109375" style="1" customWidth="1"/>
    <col min="2" max="4" width="13.7109375" style="1" customWidth="1"/>
    <col min="5" max="5" width="14.42578125" style="1" bestFit="1" customWidth="1"/>
    <col min="6" max="6" width="15.85546875" style="1" bestFit="1" customWidth="1"/>
    <col min="7" max="11" width="13.7109375" style="1" customWidth="1"/>
    <col min="12" max="15" width="11.42578125" style="1"/>
    <col min="16" max="16" width="22" style="1" customWidth="1"/>
    <col min="17" max="16384" width="11.42578125" style="1"/>
  </cols>
  <sheetData>
    <row r="2" spans="2:11" ht="30" customHeight="1">
      <c r="B2" s="141" t="s">
        <v>193</v>
      </c>
      <c r="C2" s="141" t="s">
        <v>267</v>
      </c>
      <c r="D2" s="141" t="s">
        <v>12</v>
      </c>
      <c r="E2" s="141" t="s">
        <v>268</v>
      </c>
      <c r="F2" s="141" t="s">
        <v>269</v>
      </c>
      <c r="G2" s="141" t="s">
        <v>1</v>
      </c>
      <c r="H2" s="141" t="s">
        <v>2</v>
      </c>
      <c r="I2" s="141" t="s">
        <v>3</v>
      </c>
      <c r="J2" s="141" t="s">
        <v>4</v>
      </c>
      <c r="K2" s="141" t="s">
        <v>275</v>
      </c>
    </row>
    <row r="3" spans="2:11">
      <c r="B3" s="2">
        <f t="shared" ref="B3:B27" si="0">B4-1</f>
        <v>1984</v>
      </c>
      <c r="C3" s="2">
        <v>1</v>
      </c>
      <c r="D3" s="4">
        <v>11298</v>
      </c>
      <c r="E3" s="2"/>
      <c r="F3" s="2"/>
      <c r="G3" s="4"/>
      <c r="K3" s="2"/>
    </row>
    <row r="4" spans="2:11">
      <c r="B4" s="2">
        <f t="shared" si="0"/>
        <v>1985</v>
      </c>
      <c r="C4" s="2">
        <v>2</v>
      </c>
      <c r="D4" s="4">
        <v>13558</v>
      </c>
      <c r="E4" s="2"/>
      <c r="F4" s="2"/>
      <c r="G4" s="4"/>
      <c r="H4" s="14"/>
      <c r="K4" s="2"/>
    </row>
    <row r="5" spans="2:11" ht="15">
      <c r="B5" s="2">
        <f t="shared" si="0"/>
        <v>1986</v>
      </c>
      <c r="C5" s="2">
        <v>3</v>
      </c>
      <c r="D5" s="4">
        <v>16811</v>
      </c>
      <c r="E5" s="133" t="s">
        <v>270</v>
      </c>
      <c r="F5" s="130">
        <f>(SUMPRODUCT($C$3:$C$19,$D$3:$D$19)-SUM($D$3:$D$19)*SUM($C$3:$C$19)/COUNTA($C$3:$C$19))/(SUMSQ($C$3:$C$19)-SUM($C$3:$C$19)*SUM($C$3:$C$19)/COUNTA($D$3:$D$19))</f>
        <v>15518.414215686274</v>
      </c>
      <c r="G5" s="4"/>
      <c r="K5" s="2"/>
    </row>
    <row r="6" spans="2:11" ht="15">
      <c r="B6" s="2">
        <f t="shared" si="0"/>
        <v>1987</v>
      </c>
      <c r="C6" s="2">
        <v>4</v>
      </c>
      <c r="D6" s="4">
        <v>20510</v>
      </c>
      <c r="E6" s="134" t="s">
        <v>271</v>
      </c>
      <c r="F6" s="131">
        <f>AVERAGE($D$3:$D$19)-F5*AVERAGE($C$3:$C$19)</f>
        <v>-45373.669117647063</v>
      </c>
      <c r="G6" s="4"/>
      <c r="K6" s="2"/>
    </row>
    <row r="7" spans="2:11" ht="15.75">
      <c r="B7" s="2">
        <f t="shared" si="0"/>
        <v>1988</v>
      </c>
      <c r="C7" s="2">
        <v>5</v>
      </c>
      <c r="D7" s="4">
        <v>25637</v>
      </c>
      <c r="E7" s="135" t="s">
        <v>272</v>
      </c>
      <c r="F7" s="132">
        <f>F6+COUNTA(C3:C19)*F5</f>
        <v>218439.37254901964</v>
      </c>
      <c r="G7" s="4"/>
      <c r="H7" s="2"/>
      <c r="K7" s="2"/>
    </row>
    <row r="8" spans="2:11">
      <c r="B8" s="2">
        <f t="shared" si="0"/>
        <v>1989</v>
      </c>
      <c r="C8" s="2">
        <v>6</v>
      </c>
      <c r="D8" s="4">
        <v>32560</v>
      </c>
      <c r="E8" s="2"/>
      <c r="F8" s="2"/>
      <c r="G8" s="4"/>
      <c r="H8" s="2"/>
      <c r="K8" s="2"/>
    </row>
    <row r="9" spans="2:11">
      <c r="B9" s="2">
        <f t="shared" si="0"/>
        <v>1990</v>
      </c>
      <c r="C9" s="2">
        <v>7</v>
      </c>
      <c r="D9" s="4">
        <v>41025</v>
      </c>
      <c r="E9" s="2"/>
      <c r="F9" s="2"/>
      <c r="G9" s="4"/>
      <c r="H9" s="2"/>
      <c r="K9" s="2"/>
    </row>
    <row r="10" spans="2:11">
      <c r="B10" s="2">
        <f t="shared" si="0"/>
        <v>1991</v>
      </c>
      <c r="C10" s="2">
        <v>8</v>
      </c>
      <c r="D10" s="4">
        <v>51716</v>
      </c>
      <c r="E10" s="2"/>
      <c r="F10" s="2"/>
      <c r="G10" s="4"/>
      <c r="H10" s="2"/>
      <c r="K10" s="2"/>
    </row>
    <row r="11" spans="2:11">
      <c r="B11" s="2">
        <f t="shared" si="0"/>
        <v>1992</v>
      </c>
      <c r="C11" s="2">
        <v>9</v>
      </c>
      <c r="D11" s="4">
        <v>65190</v>
      </c>
      <c r="G11" s="4"/>
      <c r="H11" s="2"/>
      <c r="K11" s="2"/>
    </row>
    <row r="12" spans="2:11">
      <c r="B12" s="2">
        <f t="shared" si="0"/>
        <v>1993</v>
      </c>
      <c r="C12" s="2">
        <v>10</v>
      </c>
      <c r="D12" s="4">
        <v>82510</v>
      </c>
      <c r="G12" s="4"/>
      <c r="K12" s="2"/>
    </row>
    <row r="13" spans="2:11">
      <c r="B13" s="2">
        <f t="shared" si="0"/>
        <v>1994</v>
      </c>
      <c r="C13" s="2">
        <v>11</v>
      </c>
      <c r="D13" s="4">
        <v>98700</v>
      </c>
      <c r="G13" s="4"/>
      <c r="K13" s="2"/>
    </row>
    <row r="14" spans="2:11">
      <c r="B14" s="2">
        <f t="shared" si="0"/>
        <v>1995</v>
      </c>
      <c r="C14" s="2">
        <v>12</v>
      </c>
      <c r="D14" s="4">
        <v>128934</v>
      </c>
      <c r="G14" s="4"/>
      <c r="K14" s="2"/>
    </row>
    <row r="15" spans="2:11">
      <c r="B15" s="2">
        <f t="shared" si="0"/>
        <v>1996</v>
      </c>
      <c r="C15" s="2">
        <v>13</v>
      </c>
      <c r="D15" s="4">
        <v>142125</v>
      </c>
      <c r="G15" s="4"/>
      <c r="K15" s="2"/>
    </row>
    <row r="16" spans="2:11">
      <c r="B16" s="2">
        <f t="shared" si="0"/>
        <v>1997</v>
      </c>
      <c r="C16" s="2">
        <v>14</v>
      </c>
      <c r="D16" s="4">
        <v>172005</v>
      </c>
      <c r="G16" s="4"/>
      <c r="K16" s="2"/>
    </row>
    <row r="17" spans="2:12">
      <c r="B17" s="2">
        <f t="shared" si="0"/>
        <v>1998</v>
      </c>
      <c r="C17" s="2">
        <v>15</v>
      </c>
      <c r="D17" s="4">
        <v>203826</v>
      </c>
      <c r="K17" s="2"/>
    </row>
    <row r="18" spans="2:12">
      <c r="B18" s="2">
        <f t="shared" si="0"/>
        <v>1999</v>
      </c>
      <c r="C18" s="2">
        <v>16</v>
      </c>
      <c r="D18" s="4">
        <v>236460</v>
      </c>
      <c r="K18" s="2"/>
    </row>
    <row r="19" spans="2:12">
      <c r="B19" s="2">
        <f t="shared" si="0"/>
        <v>2000</v>
      </c>
      <c r="C19" s="2">
        <v>17</v>
      </c>
      <c r="D19" s="4">
        <v>260100</v>
      </c>
      <c r="E19" s="127">
        <v>182229.73937908499</v>
      </c>
      <c r="F19" s="127">
        <v>146020.10620915034</v>
      </c>
      <c r="G19" s="4"/>
      <c r="H19" s="2"/>
      <c r="K19" s="2"/>
    </row>
    <row r="20" spans="2:12">
      <c r="B20" s="2">
        <f t="shared" si="0"/>
        <v>2001</v>
      </c>
      <c r="C20" s="2">
        <v>18</v>
      </c>
      <c r="D20" s="4">
        <v>286000</v>
      </c>
      <c r="E20" s="129">
        <v>213360.81756535947</v>
      </c>
      <c r="F20" s="129">
        <v>166222.31961601309</v>
      </c>
      <c r="G20" s="129">
        <v>233957.78676470596</v>
      </c>
      <c r="H20" s="129">
        <f>D20-G20</f>
        <v>52042.213235294039</v>
      </c>
      <c r="I20" s="129">
        <f>ABS(H20)</f>
        <v>52042.213235294039</v>
      </c>
      <c r="J20" s="129">
        <f>I20*I20</f>
        <v>2708391958.427814</v>
      </c>
      <c r="K20" s="129">
        <v>272341.27089773398</v>
      </c>
    </row>
    <row r="21" spans="2:12">
      <c r="B21" s="2">
        <f t="shared" si="0"/>
        <v>2002</v>
      </c>
      <c r="C21" s="2">
        <v>19</v>
      </c>
      <c r="D21" s="4">
        <v>309000</v>
      </c>
      <c r="E21" s="129">
        <v>242052.57229575163</v>
      </c>
      <c r="F21" s="129">
        <v>188971.39541993465</v>
      </c>
      <c r="G21" s="129">
        <v>280701.52892156865</v>
      </c>
      <c r="H21" s="129">
        <f t="shared" ref="H21:H39" si="1">D21-G21</f>
        <v>28298.47107843135</v>
      </c>
      <c r="I21" s="129">
        <f t="shared" ref="I21:I39" si="2">ABS(H21)</f>
        <v>28298.47107843135</v>
      </c>
      <c r="J21" s="129">
        <f t="shared" ref="J21:J39" si="3">I21*I21</f>
        <v>800803465.37681556</v>
      </c>
      <c r="K21" s="129">
        <v>319085.01305459673</v>
      </c>
    </row>
    <row r="22" spans="2:12">
      <c r="B22" s="2">
        <f t="shared" si="0"/>
        <v>2003</v>
      </c>
      <c r="C22" s="2">
        <v>20</v>
      </c>
      <c r="D22" s="4">
        <v>332000</v>
      </c>
      <c r="E22" s="129">
        <v>269036.80060702609</v>
      </c>
      <c r="F22" s="129">
        <v>212991.01697606206</v>
      </c>
      <c r="G22" s="129">
        <v>317882.82497549016</v>
      </c>
      <c r="H22" s="129">
        <f t="shared" si="1"/>
        <v>14117.175024509837</v>
      </c>
      <c r="I22" s="129">
        <f t="shared" si="2"/>
        <v>14117.175024509837</v>
      </c>
      <c r="J22" s="129">
        <f t="shared" si="3"/>
        <v>199294630.67264432</v>
      </c>
      <c r="K22" s="129">
        <v>356266.30910851818</v>
      </c>
    </row>
    <row r="23" spans="2:12">
      <c r="B23" s="2">
        <f t="shared" si="0"/>
        <v>2004</v>
      </c>
      <c r="C23" s="2">
        <v>21</v>
      </c>
      <c r="D23" s="4">
        <v>358000</v>
      </c>
      <c r="E23" s="129">
        <v>295725.76042491826</v>
      </c>
      <c r="F23" s="129">
        <v>237811.44001071891</v>
      </c>
      <c r="G23" s="129">
        <v>349102.20579411759</v>
      </c>
      <c r="H23" s="129">
        <f t="shared" si="1"/>
        <v>8897.7942058824119</v>
      </c>
      <c r="I23" s="129">
        <f t="shared" si="2"/>
        <v>8897.7942058824119</v>
      </c>
      <c r="J23" s="129">
        <f t="shared" si="3"/>
        <v>79170741.730234623</v>
      </c>
      <c r="K23" s="129">
        <v>387485.68992714561</v>
      </c>
    </row>
    <row r="24" spans="2:12">
      <c r="B24" s="2">
        <f t="shared" si="0"/>
        <v>2005</v>
      </c>
      <c r="C24" s="2">
        <v>22</v>
      </c>
      <c r="D24" s="4">
        <v>381500</v>
      </c>
      <c r="E24" s="129">
        <v>321458.03229744278</v>
      </c>
      <c r="F24" s="129">
        <v>262905.41769673605</v>
      </c>
      <c r="G24" s="129">
        <v>378460.50387377449</v>
      </c>
      <c r="H24" s="129">
        <f t="shared" si="1"/>
        <v>3039.4961262255092</v>
      </c>
      <c r="I24" s="129">
        <f t="shared" si="2"/>
        <v>3039.4961262255092</v>
      </c>
      <c r="J24" s="129">
        <f t="shared" si="3"/>
        <v>9238536.7013398763</v>
      </c>
      <c r="K24" s="129">
        <v>416843.98800680251</v>
      </c>
    </row>
    <row r="25" spans="2:12">
      <c r="B25" s="2">
        <f t="shared" si="0"/>
        <v>2006</v>
      </c>
      <c r="C25" s="2">
        <v>23</v>
      </c>
      <c r="D25" s="4">
        <v>408000</v>
      </c>
      <c r="E25" s="129">
        <v>347420.62260820996</v>
      </c>
      <c r="F25" s="129">
        <v>288259.97917017818</v>
      </c>
      <c r="G25" s="129">
        <v>405104.6245841668</v>
      </c>
      <c r="H25" s="129">
        <f t="shared" si="1"/>
        <v>2895.3754158332013</v>
      </c>
      <c r="I25" s="129">
        <f t="shared" si="2"/>
        <v>2895.3754158332013</v>
      </c>
      <c r="J25" s="129">
        <f t="shared" si="3"/>
        <v>8383198.7986112833</v>
      </c>
      <c r="K25" s="129">
        <v>443488.10871719487</v>
      </c>
    </row>
    <row r="26" spans="2:12">
      <c r="B26" s="2">
        <f t="shared" si="0"/>
        <v>2007</v>
      </c>
      <c r="C26" s="2">
        <v>24</v>
      </c>
      <c r="D26" s="4">
        <v>433700</v>
      </c>
      <c r="E26" s="129">
        <v>373304.43582574697</v>
      </c>
      <c r="F26" s="129">
        <v>313773.31616684882</v>
      </c>
      <c r="G26" s="129">
        <v>431935.82751968398</v>
      </c>
      <c r="H26" s="129">
        <f t="shared" si="1"/>
        <v>1764.1724803160178</v>
      </c>
      <c r="I26" s="129">
        <f t="shared" si="2"/>
        <v>1764.1724803160178</v>
      </c>
      <c r="J26" s="129">
        <f t="shared" si="3"/>
        <v>3112304.5403043702</v>
      </c>
      <c r="K26" s="129">
        <v>470319.31165271206</v>
      </c>
    </row>
    <row r="27" spans="2:12">
      <c r="B27" s="2">
        <f t="shared" si="0"/>
        <v>2008</v>
      </c>
      <c r="C27" s="2">
        <v>25</v>
      </c>
      <c r="D27" s="4">
        <v>461500</v>
      </c>
      <c r="E27" s="129">
        <v>399763.10507802287</v>
      </c>
      <c r="F27" s="129">
        <v>339570.25284020102</v>
      </c>
      <c r="G27" s="129">
        <v>458348.89248131582</v>
      </c>
      <c r="H27" s="129">
        <f t="shared" si="1"/>
        <v>3151.1075186841772</v>
      </c>
      <c r="I27" s="129">
        <f t="shared" si="2"/>
        <v>3151.1075186841772</v>
      </c>
      <c r="J27" s="129">
        <f t="shared" si="3"/>
        <v>9929478.5943079516</v>
      </c>
      <c r="K27" s="129">
        <v>496732.37661434384</v>
      </c>
    </row>
    <row r="28" spans="2:12">
      <c r="B28" s="2">
        <f t="shared" ref="B28:B37" si="4">B29-1</f>
        <v>2009</v>
      </c>
      <c r="C28" s="2">
        <v>26</v>
      </c>
      <c r="D28" s="4">
        <v>496900</v>
      </c>
      <c r="E28" s="129">
        <v>428904.17355461599</v>
      </c>
      <c r="F28" s="129">
        <v>366370.42905452551</v>
      </c>
      <c r="G28" s="129">
        <v>485752.89398919704</v>
      </c>
      <c r="H28" s="129">
        <f t="shared" si="1"/>
        <v>11147.106010802963</v>
      </c>
      <c r="I28" s="129">
        <f t="shared" si="2"/>
        <v>11147.106010802963</v>
      </c>
      <c r="J28" s="129">
        <f t="shared" si="3"/>
        <v>124257972.41607955</v>
      </c>
      <c r="K28" s="129">
        <v>524136.37812222505</v>
      </c>
    </row>
    <row r="29" spans="2:12">
      <c r="B29" s="2">
        <f t="shared" si="4"/>
        <v>2010</v>
      </c>
      <c r="C29" s="2">
        <v>27</v>
      </c>
      <c r="D29" s="4">
        <v>515000</v>
      </c>
      <c r="E29" s="129">
        <v>454732.92148823116</v>
      </c>
      <c r="F29" s="129">
        <v>392879.17678463715</v>
      </c>
      <c r="G29" s="129">
        <v>518238.09426903108</v>
      </c>
      <c r="H29" s="129">
        <f t="shared" si="1"/>
        <v>-3238.0942690310767</v>
      </c>
      <c r="I29" s="129">
        <f t="shared" si="2"/>
        <v>3238.0942690310767</v>
      </c>
      <c r="J29" s="129">
        <f t="shared" si="3"/>
        <v>10485254.495131902</v>
      </c>
      <c r="K29" s="129">
        <v>556621.57840205915</v>
      </c>
    </row>
    <row r="30" spans="2:12">
      <c r="B30" s="2">
        <f t="shared" si="4"/>
        <v>2011</v>
      </c>
      <c r="C30" s="2">
        <v>28</v>
      </c>
      <c r="D30" s="4">
        <v>535600</v>
      </c>
      <c r="E30" s="129">
        <v>478993.04504176177</v>
      </c>
      <c r="F30" s="129">
        <v>418713.33726177452</v>
      </c>
      <c r="G30" s="129">
        <v>543095.41392193711</v>
      </c>
      <c r="H30" s="129">
        <f t="shared" si="1"/>
        <v>-7495.4139219371136</v>
      </c>
      <c r="I30" s="129">
        <f t="shared" si="2"/>
        <v>7495.4139219371136</v>
      </c>
      <c r="J30" s="129">
        <f t="shared" si="3"/>
        <v>56181229.861168705</v>
      </c>
      <c r="K30" s="129">
        <v>581478.89805496519</v>
      </c>
      <c r="L30" s="6"/>
    </row>
    <row r="31" spans="2:12">
      <c r="B31" s="2">
        <f t="shared" si="4"/>
        <v>2012</v>
      </c>
      <c r="C31" s="2">
        <v>29</v>
      </c>
      <c r="D31" s="4">
        <v>566700</v>
      </c>
      <c r="E31" s="129">
        <v>505305.13152923324</v>
      </c>
      <c r="F31" s="129">
        <v>444690.8755420121</v>
      </c>
      <c r="G31" s="129">
        <v>565106.9132988865</v>
      </c>
      <c r="H31" s="129">
        <f t="shared" si="1"/>
        <v>1593.0867011134978</v>
      </c>
      <c r="I31" s="129">
        <f t="shared" si="2"/>
        <v>1593.0867011134978</v>
      </c>
      <c r="J31" s="129">
        <f t="shared" si="3"/>
        <v>2537925.2372646872</v>
      </c>
      <c r="K31" s="129">
        <v>603490.39743191458</v>
      </c>
      <c r="L31" s="6"/>
    </row>
    <row r="32" spans="2:12">
      <c r="B32" s="2">
        <f t="shared" si="4"/>
        <v>2013</v>
      </c>
      <c r="C32" s="2">
        <v>30</v>
      </c>
      <c r="D32" s="4">
        <v>589500</v>
      </c>
      <c r="E32" s="129">
        <v>530563.59207046323</v>
      </c>
      <c r="F32" s="129">
        <v>470452.69050054741</v>
      </c>
      <c r="G32" s="129">
        <v>591896.92579669203</v>
      </c>
      <c r="H32" s="129">
        <f t="shared" si="1"/>
        <v>-2396.9257966920268</v>
      </c>
      <c r="I32" s="129">
        <f t="shared" si="2"/>
        <v>2396.9257966920268</v>
      </c>
      <c r="J32" s="129">
        <f t="shared" si="3"/>
        <v>5745253.2748477077</v>
      </c>
      <c r="K32" s="129">
        <v>630280.4099297201</v>
      </c>
      <c r="L32" s="6"/>
    </row>
    <row r="33" spans="2:12">
      <c r="B33" s="2">
        <f t="shared" si="4"/>
        <v>2014</v>
      </c>
      <c r="C33" s="2">
        <v>31</v>
      </c>
      <c r="D33" s="4">
        <v>616000</v>
      </c>
      <c r="E33" s="129">
        <v>556194.51444932423</v>
      </c>
      <c r="F33" s="129">
        <v>496175.23768518039</v>
      </c>
      <c r="G33" s="129">
        <v>616436.30859891465</v>
      </c>
      <c r="H33" s="129">
        <f t="shared" si="1"/>
        <v>-436.30859891464934</v>
      </c>
      <c r="I33" s="129">
        <f t="shared" si="2"/>
        <v>436.30859891464934</v>
      </c>
      <c r="J33" s="129">
        <f t="shared" si="3"/>
        <v>190365.19348686436</v>
      </c>
      <c r="K33" s="129">
        <v>654819.79273194273</v>
      </c>
      <c r="L33" s="6"/>
    </row>
    <row r="34" spans="2:12">
      <c r="B34" s="2">
        <f t="shared" si="4"/>
        <v>2015</v>
      </c>
      <c r="C34" s="2">
        <v>32</v>
      </c>
      <c r="D34" s="4">
        <v>644350</v>
      </c>
      <c r="E34" s="129">
        <v>582641.16011452698</v>
      </c>
      <c r="F34" s="129">
        <v>522115.01441398438</v>
      </c>
      <c r="G34" s="129">
        <v>641936.33839810127</v>
      </c>
      <c r="H34" s="129">
        <f t="shared" si="1"/>
        <v>2413.6616018987261</v>
      </c>
      <c r="I34" s="129">
        <f t="shared" si="2"/>
        <v>2413.6616018987261</v>
      </c>
      <c r="J34" s="129">
        <f t="shared" si="3"/>
        <v>5825762.3284803247</v>
      </c>
      <c r="K34" s="129">
        <v>680319.82253112935</v>
      </c>
      <c r="L34" s="6"/>
    </row>
    <row r="35" spans="2:12">
      <c r="B35" s="2">
        <f t="shared" si="4"/>
        <v>2016</v>
      </c>
      <c r="C35" s="2">
        <v>33</v>
      </c>
      <c r="D35" s="4">
        <v>689455</v>
      </c>
      <c r="E35" s="129">
        <v>614685.31208016886</v>
      </c>
      <c r="F35" s="129">
        <v>549886.10371383966</v>
      </c>
      <c r="G35" s="129">
        <v>669107.08254387369</v>
      </c>
      <c r="H35" s="129">
        <f t="shared" si="1"/>
        <v>20347.917456126306</v>
      </c>
      <c r="I35" s="129">
        <f t="shared" si="2"/>
        <v>20347.917456126306</v>
      </c>
      <c r="J35" s="129">
        <f t="shared" si="3"/>
        <v>414037744.80132967</v>
      </c>
      <c r="K35" s="129">
        <v>707490.56667690177</v>
      </c>
      <c r="L35" s="6"/>
    </row>
    <row r="36" spans="2:12">
      <c r="B36" s="2">
        <f t="shared" si="4"/>
        <v>2017</v>
      </c>
      <c r="C36" s="2">
        <v>34</v>
      </c>
      <c r="D36" s="4">
        <v>737717</v>
      </c>
      <c r="E36" s="129">
        <v>651594.81845611823</v>
      </c>
      <c r="F36" s="129">
        <v>580398.71813652315</v>
      </c>
      <c r="G36" s="129">
        <v>707255.60974635347</v>
      </c>
      <c r="H36" s="129">
        <f t="shared" si="1"/>
        <v>30461.390253646532</v>
      </c>
      <c r="I36" s="129">
        <f t="shared" si="2"/>
        <v>30461.390253646532</v>
      </c>
      <c r="J36" s="129">
        <f t="shared" si="3"/>
        <v>927896296.1849519</v>
      </c>
      <c r="K36" s="129">
        <v>745639.09387938154</v>
      </c>
      <c r="L36" s="6"/>
    </row>
    <row r="37" spans="2:12">
      <c r="B37" s="2">
        <f t="shared" si="4"/>
        <v>2018</v>
      </c>
      <c r="C37" s="2">
        <v>35</v>
      </c>
      <c r="D37" s="4">
        <v>781242</v>
      </c>
      <c r="E37" s="129">
        <v>690488.97291928274</v>
      </c>
      <c r="F37" s="129">
        <v>613425.79457135103</v>
      </c>
      <c r="G37" s="129">
        <v>753303.53319839714</v>
      </c>
      <c r="H37" s="129">
        <f t="shared" si="1"/>
        <v>27938.466801602859</v>
      </c>
      <c r="I37" s="129">
        <f t="shared" si="2"/>
        <v>27938.466801602859</v>
      </c>
      <c r="J37" s="129">
        <f t="shared" si="3"/>
        <v>780557927.2242651</v>
      </c>
      <c r="K37" s="129">
        <v>791687.01733142522</v>
      </c>
      <c r="L37" s="6"/>
    </row>
    <row r="38" spans="2:12">
      <c r="B38" s="2">
        <f>B39-1</f>
        <v>2019</v>
      </c>
      <c r="C38" s="2">
        <v>36</v>
      </c>
      <c r="D38" s="4">
        <v>828116</v>
      </c>
      <c r="E38" s="129">
        <v>731777.08104349789</v>
      </c>
      <c r="F38" s="129">
        <v>648931.18051299499</v>
      </c>
      <c r="G38" s="129">
        <v>800579.22770204255</v>
      </c>
      <c r="H38" s="129">
        <f t="shared" si="1"/>
        <v>27536.772297957446</v>
      </c>
      <c r="I38" s="129">
        <f t="shared" si="2"/>
        <v>27536.772297957446</v>
      </c>
      <c r="J38" s="129">
        <f t="shared" si="3"/>
        <v>758273828.58955657</v>
      </c>
      <c r="K38" s="129">
        <v>838962.71183507063</v>
      </c>
      <c r="L38" s="6"/>
    </row>
    <row r="39" spans="2:12" ht="15">
      <c r="B39" s="2">
        <v>2020</v>
      </c>
      <c r="C39" s="2">
        <v>37</v>
      </c>
      <c r="D39" s="4">
        <v>877803</v>
      </c>
      <c r="E39" s="129">
        <v>775584.85673044843</v>
      </c>
      <c r="F39" s="129">
        <v>686927.28337823099</v>
      </c>
      <c r="G39" s="129">
        <v>850128.36751564499</v>
      </c>
      <c r="H39" s="129">
        <f t="shared" si="1"/>
        <v>27674.63248435501</v>
      </c>
      <c r="I39" s="129">
        <f t="shared" si="2"/>
        <v>27674.63248435501</v>
      </c>
      <c r="J39" s="129">
        <f t="shared" si="3"/>
        <v>765885283.14411759</v>
      </c>
      <c r="K39" s="129">
        <v>888511.85164867307</v>
      </c>
      <c r="L39" s="15"/>
    </row>
    <row r="40" spans="2:12" ht="15">
      <c r="B40" s="2">
        <f>B39+1</f>
        <v>2021</v>
      </c>
      <c r="C40" s="2">
        <v>38</v>
      </c>
      <c r="D40" s="4">
        <v>1</v>
      </c>
      <c r="E40" s="144"/>
      <c r="F40" s="144"/>
      <c r="G40" s="127">
        <v>902238.5329479021</v>
      </c>
      <c r="H40" s="129"/>
      <c r="I40" s="129"/>
      <c r="J40" s="129"/>
      <c r="K40" s="127">
        <v>940622.01708093018</v>
      </c>
      <c r="L40" s="15"/>
    </row>
    <row r="41" spans="2:12" ht="15">
      <c r="B41" s="2">
        <f t="shared" ref="B41:B44" si="5">B40+1</f>
        <v>2022</v>
      </c>
      <c r="C41" s="2">
        <v>39</v>
      </c>
      <c r="D41" s="4">
        <v>2</v>
      </c>
      <c r="E41" s="144"/>
      <c r="F41" s="144"/>
      <c r="G41" s="127">
        <v>940234.63581313821</v>
      </c>
      <c r="H41" s="129"/>
      <c r="I41" s="129"/>
      <c r="J41" s="129"/>
      <c r="K41" s="127">
        <v>978618.11994616629</v>
      </c>
      <c r="L41" s="15"/>
    </row>
    <row r="42" spans="2:12" ht="15">
      <c r="B42" s="2">
        <f t="shared" si="5"/>
        <v>2023</v>
      </c>
      <c r="C42" s="2">
        <v>40</v>
      </c>
      <c r="D42" s="4">
        <v>3</v>
      </c>
      <c r="E42" s="144"/>
      <c r="F42" s="144"/>
      <c r="G42" s="127">
        <v>978230.73867837386</v>
      </c>
      <c r="H42" s="129"/>
      <c r="I42" s="129"/>
      <c r="J42" s="129"/>
      <c r="K42" s="127">
        <v>1016614.2228114019</v>
      </c>
      <c r="L42" s="15"/>
    </row>
    <row r="43" spans="2:12" ht="15">
      <c r="B43" s="2">
        <f t="shared" si="5"/>
        <v>2024</v>
      </c>
      <c r="C43" s="2">
        <v>41</v>
      </c>
      <c r="D43" s="4">
        <v>4</v>
      </c>
      <c r="E43" s="144"/>
      <c r="F43" s="144"/>
      <c r="G43" s="127">
        <v>1016226.8415436102</v>
      </c>
      <c r="H43" s="129"/>
      <c r="I43" s="129"/>
      <c r="J43" s="129"/>
      <c r="K43" s="127">
        <v>1054610.3256766382</v>
      </c>
      <c r="L43" s="15"/>
    </row>
    <row r="44" spans="2:12" ht="15">
      <c r="B44" s="2">
        <f t="shared" si="5"/>
        <v>2025</v>
      </c>
      <c r="C44" s="2">
        <v>42</v>
      </c>
      <c r="D44" s="4">
        <v>5</v>
      </c>
      <c r="E44" s="144"/>
      <c r="F44" s="144"/>
      <c r="G44" s="127">
        <v>1054222.9444088456</v>
      </c>
      <c r="H44" s="129"/>
      <c r="I44" s="129"/>
      <c r="J44" s="129"/>
      <c r="K44" s="127">
        <v>1092606.4285418736</v>
      </c>
      <c r="L44" s="15"/>
    </row>
    <row r="45" spans="2:12" ht="15">
      <c r="B45" s="2"/>
      <c r="C45" s="2"/>
      <c r="D45" s="4"/>
      <c r="E45" s="144"/>
      <c r="F45" s="144"/>
      <c r="G45" s="144"/>
      <c r="H45" s="129"/>
      <c r="I45" s="129"/>
      <c r="J45" s="129"/>
      <c r="K45" s="127"/>
      <c r="L45" s="15"/>
    </row>
    <row r="46" spans="2:12" ht="15">
      <c r="B46" s="133" t="s">
        <v>6</v>
      </c>
      <c r="C46" s="138">
        <v>0.3</v>
      </c>
      <c r="G46" s="133" t="s">
        <v>5</v>
      </c>
      <c r="H46" s="151">
        <f>SUM(H20:H40)</f>
        <v>249752.09610610502</v>
      </c>
      <c r="I46" s="151">
        <f>SUM(I20:I40)</f>
        <v>276885.58127925475</v>
      </c>
      <c r="J46" s="139">
        <f>SUM(J20:J40)</f>
        <v>7670199157.5927515</v>
      </c>
      <c r="K46" s="5"/>
      <c r="L46" s="16"/>
    </row>
    <row r="47" spans="2:12" ht="15">
      <c r="B47" s="134" t="s">
        <v>8</v>
      </c>
      <c r="C47" s="136">
        <v>0.01</v>
      </c>
      <c r="G47" s="134" t="s">
        <v>7</v>
      </c>
      <c r="H47" s="152"/>
      <c r="I47" s="152">
        <f>(I46/COUNTA(I20:I39))</f>
        <v>13844.279063962738</v>
      </c>
      <c r="J47" s="153">
        <f>(J46/COUNTA(J20:J39))</f>
        <v>383509957.8796376</v>
      </c>
      <c r="K47" s="5"/>
      <c r="L47" s="16"/>
    </row>
    <row r="48" spans="2:12" ht="15">
      <c r="B48" s="134" t="s">
        <v>10</v>
      </c>
      <c r="C48" s="140">
        <v>0.3</v>
      </c>
      <c r="G48" s="135" t="s">
        <v>9</v>
      </c>
      <c r="H48" s="154"/>
      <c r="I48" s="154">
        <f>(1.25*I47)</f>
        <v>17305.348829953422</v>
      </c>
      <c r="J48" s="155">
        <f>SQRT(J47)</f>
        <v>19583.410271953086</v>
      </c>
      <c r="K48" s="5"/>
      <c r="L48" s="16"/>
    </row>
    <row r="49" spans="3:12" ht="15">
      <c r="K49" s="5"/>
      <c r="L49" s="16"/>
    </row>
    <row r="50" spans="3:12">
      <c r="C50" s="2"/>
    </row>
    <row r="51" spans="3:12">
      <c r="C51" s="2"/>
    </row>
    <row r="52" spans="3:12">
      <c r="C52" s="2"/>
    </row>
    <row r="53" spans="3:12">
      <c r="C53" s="2"/>
    </row>
    <row r="54" spans="3:12">
      <c r="C54" s="2"/>
    </row>
    <row r="55" spans="3:12">
      <c r="C55" s="2"/>
    </row>
    <row r="56" spans="3:12">
      <c r="C56" s="2"/>
    </row>
    <row r="57" spans="3:12">
      <c r="C57" s="2"/>
    </row>
    <row r="58" spans="3:12">
      <c r="C58" s="2"/>
    </row>
  </sheetData>
  <pageMargins left="0.75" right="0.75" top="1" bottom="1" header="0" footer="0"/>
  <pageSetup orientation="portrait" horizontalDpi="0" verticalDpi="0" copies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3988-7D7F-4FD8-846E-D225EBF84479}">
  <dimension ref="B2:J68"/>
  <sheetViews>
    <sheetView showGridLines="0" zoomScale="70" zoomScaleNormal="70" workbookViewId="0">
      <selection activeCell="B1" sqref="B1"/>
    </sheetView>
  </sheetViews>
  <sheetFormatPr baseColWidth="10" defaultColWidth="11.42578125" defaultRowHeight="12.75"/>
  <cols>
    <col min="1" max="1" width="2.7109375" style="1" customWidth="1"/>
    <col min="2" max="2" width="13.7109375" style="2" customWidth="1"/>
    <col min="3" max="3" width="13.7109375" style="1" customWidth="1"/>
    <col min="4" max="4" width="13.7109375" style="2" customWidth="1"/>
    <col min="5" max="10" width="13.7109375" style="1" customWidth="1"/>
    <col min="11" max="12" width="11.42578125" style="1"/>
    <col min="13" max="13" width="15.7109375" style="1" customWidth="1"/>
    <col min="14" max="14" width="17.42578125" style="1" customWidth="1"/>
    <col min="15" max="16384" width="11.42578125" style="1"/>
  </cols>
  <sheetData>
    <row r="2" spans="2:10" ht="15">
      <c r="B2" s="141" t="s">
        <v>193</v>
      </c>
      <c r="C2" s="141" t="s">
        <v>267</v>
      </c>
      <c r="D2" s="141" t="s">
        <v>276</v>
      </c>
      <c r="E2" s="141" t="s">
        <v>268</v>
      </c>
      <c r="F2" s="141" t="s">
        <v>269</v>
      </c>
      <c r="G2" s="141" t="s">
        <v>1</v>
      </c>
      <c r="H2" s="141" t="s">
        <v>2</v>
      </c>
      <c r="I2" s="141" t="s">
        <v>3</v>
      </c>
      <c r="J2" s="141" t="s">
        <v>4</v>
      </c>
    </row>
    <row r="3" spans="2:10">
      <c r="B3" s="2">
        <f t="shared" ref="B3:B50" si="0">B4-1</f>
        <v>1971</v>
      </c>
      <c r="C3" s="2">
        <v>1</v>
      </c>
      <c r="D3" s="2">
        <v>6.83</v>
      </c>
      <c r="E3" s="2"/>
      <c r="F3" s="3"/>
      <c r="G3" s="3"/>
      <c r="H3" s="3"/>
      <c r="I3" s="3"/>
    </row>
    <row r="4" spans="2:10">
      <c r="B4" s="2">
        <f t="shared" si="0"/>
        <v>1972</v>
      </c>
      <c r="C4" s="2">
        <v>2</v>
      </c>
      <c r="D4" s="2">
        <v>13.91</v>
      </c>
      <c r="E4" s="2"/>
      <c r="F4" s="4"/>
    </row>
    <row r="5" spans="2:10">
      <c r="B5" s="2">
        <f t="shared" si="0"/>
        <v>1973</v>
      </c>
      <c r="C5" s="2">
        <v>3</v>
      </c>
      <c r="D5" s="2">
        <v>13.86</v>
      </c>
      <c r="E5" s="2"/>
      <c r="F5" s="4"/>
    </row>
    <row r="6" spans="2:10">
      <c r="B6" s="2">
        <f t="shared" si="0"/>
        <v>1974</v>
      </c>
      <c r="C6" s="2">
        <v>4</v>
      </c>
      <c r="D6" s="2">
        <v>23.48</v>
      </c>
      <c r="E6" s="2"/>
      <c r="F6" s="4"/>
    </row>
    <row r="7" spans="2:10">
      <c r="B7" s="2">
        <f t="shared" si="0"/>
        <v>1975</v>
      </c>
      <c r="C7" s="2">
        <v>5</v>
      </c>
      <c r="D7" s="2">
        <v>26.06</v>
      </c>
      <c r="E7" s="2"/>
      <c r="F7" s="4"/>
    </row>
    <row r="8" spans="2:10">
      <c r="B8" s="2">
        <f t="shared" si="0"/>
        <v>1976</v>
      </c>
      <c r="C8" s="2">
        <v>6</v>
      </c>
      <c r="D8" s="2">
        <v>17.690000000000001</v>
      </c>
      <c r="E8" s="2"/>
      <c r="F8" s="4"/>
    </row>
    <row r="9" spans="2:10">
      <c r="B9" s="2">
        <f t="shared" si="0"/>
        <v>1977</v>
      </c>
      <c r="C9" s="2">
        <v>7</v>
      </c>
      <c r="D9" s="2">
        <v>25.79</v>
      </c>
      <c r="E9" s="2"/>
      <c r="F9" s="4"/>
    </row>
    <row r="10" spans="2:10">
      <c r="B10" s="2">
        <f t="shared" si="0"/>
        <v>1978</v>
      </c>
      <c r="C10" s="2">
        <v>8</v>
      </c>
      <c r="D10" s="2">
        <v>28.3</v>
      </c>
      <c r="E10" s="2"/>
      <c r="F10" s="4"/>
    </row>
    <row r="11" spans="2:10">
      <c r="B11" s="2">
        <f t="shared" si="0"/>
        <v>1979</v>
      </c>
      <c r="C11" s="2">
        <v>9</v>
      </c>
      <c r="D11" s="2">
        <v>18.73</v>
      </c>
      <c r="E11" s="2"/>
      <c r="F11" s="4"/>
    </row>
    <row r="12" spans="2:10">
      <c r="B12" s="2">
        <f t="shared" si="0"/>
        <v>1980</v>
      </c>
      <c r="C12" s="2">
        <v>10</v>
      </c>
      <c r="D12" s="2">
        <v>28.82</v>
      </c>
      <c r="E12" s="2"/>
      <c r="F12" s="4"/>
    </row>
    <row r="13" spans="2:10">
      <c r="B13" s="2">
        <f t="shared" si="0"/>
        <v>1981</v>
      </c>
      <c r="C13" s="2">
        <v>11</v>
      </c>
      <c r="D13" s="2">
        <v>25.96</v>
      </c>
      <c r="E13" s="2"/>
      <c r="F13" s="4"/>
    </row>
    <row r="14" spans="2:10">
      <c r="B14" s="2">
        <f t="shared" si="0"/>
        <v>1982</v>
      </c>
      <c r="C14" s="2">
        <v>12</v>
      </c>
      <c r="D14" s="2">
        <v>26.36</v>
      </c>
      <c r="E14" s="2"/>
      <c r="F14" s="4"/>
    </row>
    <row r="15" spans="2:10">
      <c r="B15" s="2">
        <f t="shared" si="0"/>
        <v>1983</v>
      </c>
      <c r="C15" s="2">
        <v>13</v>
      </c>
      <c r="D15" s="2">
        <v>24.04</v>
      </c>
    </row>
    <row r="16" spans="2:10">
      <c r="B16" s="2">
        <f t="shared" si="0"/>
        <v>1984</v>
      </c>
      <c r="C16" s="2">
        <v>14</v>
      </c>
      <c r="D16" s="2">
        <v>16.66</v>
      </c>
    </row>
    <row r="17" spans="2:10">
      <c r="B17" s="2">
        <f t="shared" si="0"/>
        <v>1985</v>
      </c>
      <c r="C17" s="2">
        <v>15</v>
      </c>
      <c r="D17" s="2">
        <v>18.260000000000002</v>
      </c>
    </row>
    <row r="18" spans="2:10">
      <c r="B18" s="2">
        <f t="shared" si="0"/>
        <v>1986</v>
      </c>
      <c r="C18" s="2">
        <v>16</v>
      </c>
      <c r="D18" s="2">
        <v>22.45</v>
      </c>
    </row>
    <row r="19" spans="2:10">
      <c r="B19" s="2">
        <f t="shared" si="0"/>
        <v>1987</v>
      </c>
      <c r="C19" s="2">
        <v>17</v>
      </c>
      <c r="D19" s="2">
        <v>20.95</v>
      </c>
    </row>
    <row r="20" spans="2:10">
      <c r="B20" s="2">
        <f t="shared" si="0"/>
        <v>1988</v>
      </c>
      <c r="C20" s="2">
        <v>18</v>
      </c>
      <c r="D20" s="2">
        <v>24.03</v>
      </c>
    </row>
    <row r="21" spans="2:10">
      <c r="B21" s="2">
        <f t="shared" si="0"/>
        <v>1989</v>
      </c>
      <c r="C21" s="2">
        <v>19</v>
      </c>
      <c r="D21" s="2">
        <v>28.12</v>
      </c>
    </row>
    <row r="22" spans="2:10">
      <c r="B22" s="2">
        <f t="shared" si="0"/>
        <v>1990</v>
      </c>
      <c r="C22" s="2">
        <v>20</v>
      </c>
      <c r="D22" s="2">
        <v>26.23</v>
      </c>
      <c r="E22" s="126">
        <f>AVERAGE(D3:D22)</f>
        <v>21.826500000000003</v>
      </c>
    </row>
    <row r="23" spans="2:10">
      <c r="B23" s="2">
        <f t="shared" si="0"/>
        <v>1991</v>
      </c>
      <c r="C23" s="2">
        <v>21</v>
      </c>
      <c r="D23" s="2">
        <v>32.369999999999997</v>
      </c>
      <c r="E23" s="162">
        <f t="shared" ref="E23:E52" si="1">$C$55*D23+(1-$C$55)*E22</f>
        <v>24.989550000000001</v>
      </c>
      <c r="F23" s="143">
        <f>E22</f>
        <v>21.826500000000003</v>
      </c>
      <c r="G23" s="143">
        <f>D23-F23</f>
        <v>10.543499999999995</v>
      </c>
      <c r="H23" s="143">
        <f>ABS(G23)</f>
        <v>10.543499999999995</v>
      </c>
      <c r="I23" s="143">
        <f>H23*H23</f>
        <v>111.16539224999988</v>
      </c>
      <c r="J23" s="143">
        <v>30.076983939228871</v>
      </c>
    </row>
    <row r="24" spans="2:10">
      <c r="B24" s="2">
        <f t="shared" si="0"/>
        <v>1992</v>
      </c>
      <c r="C24" s="2">
        <v>22</v>
      </c>
      <c r="D24" s="2">
        <v>26.82</v>
      </c>
      <c r="E24" s="162">
        <f t="shared" si="1"/>
        <v>25.538684999999997</v>
      </c>
      <c r="F24" s="143">
        <f>E23</f>
        <v>24.989550000000001</v>
      </c>
      <c r="G24" s="143">
        <f t="shared" ref="G24:G52" si="2">D24-F24</f>
        <v>1.830449999999999</v>
      </c>
      <c r="H24" s="143">
        <f t="shared" ref="H24:H52" si="3">ABS(G24)</f>
        <v>1.830449999999999</v>
      </c>
      <c r="I24" s="143">
        <f t="shared" ref="I24:I52" si="4">H24*H24</f>
        <v>3.3505472024999965</v>
      </c>
      <c r="J24" s="143">
        <v>33.240033939228866</v>
      </c>
    </row>
    <row r="25" spans="2:10">
      <c r="B25" s="2">
        <f t="shared" si="0"/>
        <v>1993</v>
      </c>
      <c r="C25" s="2">
        <v>23</v>
      </c>
      <c r="D25" s="2">
        <v>25.14</v>
      </c>
      <c r="E25" s="162">
        <f t="shared" si="1"/>
        <v>25.419079499999995</v>
      </c>
      <c r="F25" s="143">
        <f t="shared" ref="F25:F53" si="5">E24</f>
        <v>25.538684999999997</v>
      </c>
      <c r="G25" s="143">
        <f t="shared" si="2"/>
        <v>-0.39868499999999685</v>
      </c>
      <c r="H25" s="143">
        <f t="shared" si="3"/>
        <v>0.39868499999999685</v>
      </c>
      <c r="I25" s="143">
        <f t="shared" si="4"/>
        <v>0.15894972922499748</v>
      </c>
      <c r="J25" s="143">
        <v>33.789168939228865</v>
      </c>
    </row>
    <row r="26" spans="2:10">
      <c r="B26" s="2">
        <f t="shared" si="0"/>
        <v>1994</v>
      </c>
      <c r="C26" s="2">
        <v>24</v>
      </c>
      <c r="D26" s="2">
        <v>22.61</v>
      </c>
      <c r="E26" s="162">
        <f t="shared" si="1"/>
        <v>24.576355649999996</v>
      </c>
      <c r="F26" s="143">
        <f t="shared" si="5"/>
        <v>25.419079499999995</v>
      </c>
      <c r="G26" s="143">
        <f t="shared" si="2"/>
        <v>-2.8090794999999957</v>
      </c>
      <c r="H26" s="143">
        <f t="shared" si="3"/>
        <v>2.8090794999999957</v>
      </c>
      <c r="I26" s="143">
        <f t="shared" si="4"/>
        <v>7.8909276373202264</v>
      </c>
      <c r="J26" s="143">
        <v>33.669563439228867</v>
      </c>
    </row>
    <row r="27" spans="2:10">
      <c r="B27" s="2">
        <f t="shared" si="0"/>
        <v>1995</v>
      </c>
      <c r="C27" s="2">
        <v>25</v>
      </c>
      <c r="D27" s="2">
        <v>22.6</v>
      </c>
      <c r="E27" s="162">
        <f t="shared" si="1"/>
        <v>23.983448954999997</v>
      </c>
      <c r="F27" s="143">
        <f t="shared" si="5"/>
        <v>24.576355649999996</v>
      </c>
      <c r="G27" s="143">
        <f t="shared" si="2"/>
        <v>-1.976355649999995</v>
      </c>
      <c r="H27" s="143">
        <f t="shared" si="3"/>
        <v>1.976355649999995</v>
      </c>
      <c r="I27" s="143">
        <f t="shared" si="4"/>
        <v>3.9059816552869027</v>
      </c>
      <c r="J27" s="143">
        <v>32.826839589228868</v>
      </c>
    </row>
    <row r="28" spans="2:10">
      <c r="B28" s="2">
        <f t="shared" si="0"/>
        <v>1996</v>
      </c>
      <c r="C28" s="2">
        <v>26</v>
      </c>
      <c r="D28" s="2">
        <v>19.47</v>
      </c>
      <c r="E28" s="162">
        <f t="shared" si="1"/>
        <v>22.629414268499993</v>
      </c>
      <c r="F28" s="143">
        <f t="shared" si="5"/>
        <v>23.983448954999997</v>
      </c>
      <c r="G28" s="143">
        <f t="shared" si="2"/>
        <v>-4.5134489549999977</v>
      </c>
      <c r="H28" s="143">
        <f t="shared" si="3"/>
        <v>4.5134489549999977</v>
      </c>
      <c r="I28" s="143">
        <f t="shared" si="4"/>
        <v>20.371221469390569</v>
      </c>
      <c r="J28" s="143">
        <v>32.233932894228865</v>
      </c>
    </row>
    <row r="29" spans="2:10">
      <c r="B29" s="2">
        <f t="shared" si="0"/>
        <v>1997</v>
      </c>
      <c r="C29" s="2">
        <v>27</v>
      </c>
      <c r="D29" s="2">
        <v>21.64</v>
      </c>
      <c r="E29" s="162">
        <f t="shared" si="1"/>
        <v>22.332589987949994</v>
      </c>
      <c r="F29" s="143">
        <f t="shared" si="5"/>
        <v>22.629414268499993</v>
      </c>
      <c r="G29" s="143">
        <f t="shared" si="2"/>
        <v>-0.98941426849999203</v>
      </c>
      <c r="H29" s="143">
        <f t="shared" si="3"/>
        <v>0.98941426849999203</v>
      </c>
      <c r="I29" s="143">
        <f t="shared" si="4"/>
        <v>0.97894059471137429</v>
      </c>
      <c r="J29" s="143">
        <v>30.879898207728861</v>
      </c>
    </row>
    <row r="30" spans="2:10">
      <c r="B30" s="2">
        <f t="shared" si="0"/>
        <v>1998</v>
      </c>
      <c r="C30" s="2">
        <v>28</v>
      </c>
      <c r="D30" s="2">
        <v>17.68</v>
      </c>
      <c r="E30" s="162">
        <f t="shared" si="1"/>
        <v>20.936812991564995</v>
      </c>
      <c r="F30" s="143">
        <f t="shared" si="5"/>
        <v>22.332589987949994</v>
      </c>
      <c r="G30" s="143">
        <f t="shared" si="2"/>
        <v>-4.6525899879499946</v>
      </c>
      <c r="H30" s="143">
        <f t="shared" si="3"/>
        <v>4.6525899879499946</v>
      </c>
      <c r="I30" s="143">
        <f t="shared" si="4"/>
        <v>21.646593595972529</v>
      </c>
      <c r="J30" s="143">
        <v>30.583073927178862</v>
      </c>
    </row>
    <row r="31" spans="2:10">
      <c r="B31" s="2">
        <f t="shared" si="0"/>
        <v>1999</v>
      </c>
      <c r="C31" s="2">
        <v>29</v>
      </c>
      <c r="D31" s="2">
        <v>16.7</v>
      </c>
      <c r="E31" s="162">
        <f t="shared" si="1"/>
        <v>19.665769094095495</v>
      </c>
      <c r="F31" s="143">
        <f t="shared" si="5"/>
        <v>20.936812991564995</v>
      </c>
      <c r="G31" s="143">
        <f t="shared" si="2"/>
        <v>-4.2368129915649959</v>
      </c>
      <c r="H31" s="143">
        <f t="shared" si="3"/>
        <v>4.2368129915649959</v>
      </c>
      <c r="I31" s="143">
        <f t="shared" si="4"/>
        <v>17.950584325493931</v>
      </c>
      <c r="J31" s="143">
        <v>29.187296930793863</v>
      </c>
    </row>
    <row r="32" spans="2:10">
      <c r="B32" s="2">
        <f t="shared" si="0"/>
        <v>2000</v>
      </c>
      <c r="C32" s="2">
        <v>30</v>
      </c>
      <c r="D32" s="2">
        <v>9.23</v>
      </c>
      <c r="E32" s="162">
        <f t="shared" si="1"/>
        <v>16.535038365866846</v>
      </c>
      <c r="F32" s="143">
        <f t="shared" si="5"/>
        <v>19.665769094095495</v>
      </c>
      <c r="G32" s="143">
        <f t="shared" si="2"/>
        <v>-10.435769094095495</v>
      </c>
      <c r="H32" s="143">
        <f t="shared" si="3"/>
        <v>10.435769094095495</v>
      </c>
      <c r="I32" s="143">
        <f t="shared" si="4"/>
        <v>108.9052765852787</v>
      </c>
      <c r="J32" s="143">
        <v>27.916253033324363</v>
      </c>
    </row>
    <row r="33" spans="2:10">
      <c r="B33" s="2">
        <f t="shared" si="0"/>
        <v>2001</v>
      </c>
      <c r="C33" s="2">
        <v>31</v>
      </c>
      <c r="D33" s="2">
        <v>8.75</v>
      </c>
      <c r="E33" s="162">
        <f t="shared" si="1"/>
        <v>14.199526856106791</v>
      </c>
      <c r="F33" s="143">
        <f t="shared" si="5"/>
        <v>16.535038365866846</v>
      </c>
      <c r="G33" s="143">
        <f t="shared" si="2"/>
        <v>-7.7850383658668463</v>
      </c>
      <c r="H33" s="143">
        <f t="shared" si="3"/>
        <v>7.7850383658668463</v>
      </c>
      <c r="I33" s="143">
        <f t="shared" si="4"/>
        <v>60.606822358018739</v>
      </c>
      <c r="J33" s="143">
        <v>24.785522305095714</v>
      </c>
    </row>
    <row r="34" spans="2:10">
      <c r="B34" s="2">
        <f t="shared" si="0"/>
        <v>2002</v>
      </c>
      <c r="C34" s="2">
        <v>32</v>
      </c>
      <c r="D34" s="2">
        <v>7.65</v>
      </c>
      <c r="E34" s="162">
        <f t="shared" si="1"/>
        <v>12.234668799274754</v>
      </c>
      <c r="F34" s="143">
        <f t="shared" si="5"/>
        <v>14.199526856106791</v>
      </c>
      <c r="G34" s="143">
        <f t="shared" si="2"/>
        <v>-6.549526856106791</v>
      </c>
      <c r="H34" s="143">
        <f t="shared" si="3"/>
        <v>6.549526856106791</v>
      </c>
      <c r="I34" s="143">
        <f t="shared" si="4"/>
        <v>42.896302038864107</v>
      </c>
      <c r="J34" s="143">
        <v>22.450010795335658</v>
      </c>
    </row>
    <row r="35" spans="2:10">
      <c r="B35" s="2">
        <f t="shared" si="0"/>
        <v>2003</v>
      </c>
      <c r="C35" s="2">
        <v>33</v>
      </c>
      <c r="D35" s="2">
        <v>6.99</v>
      </c>
      <c r="E35" s="162">
        <f t="shared" si="1"/>
        <v>10.661268159492327</v>
      </c>
      <c r="F35" s="143">
        <f t="shared" si="5"/>
        <v>12.234668799274754</v>
      </c>
      <c r="G35" s="143">
        <f t="shared" si="2"/>
        <v>-5.2446687992747538</v>
      </c>
      <c r="H35" s="143">
        <f t="shared" si="3"/>
        <v>5.2446687992747538</v>
      </c>
      <c r="I35" s="143">
        <f t="shared" si="4"/>
        <v>27.506550814086086</v>
      </c>
      <c r="J35" s="143">
        <v>20.485152738503622</v>
      </c>
    </row>
    <row r="36" spans="2:10">
      <c r="B36" s="2">
        <f t="shared" si="0"/>
        <v>2004</v>
      </c>
      <c r="C36" s="2">
        <v>34</v>
      </c>
      <c r="D36" s="2">
        <v>6.49</v>
      </c>
      <c r="E36" s="162">
        <f t="shared" si="1"/>
        <v>9.4098877116446289</v>
      </c>
      <c r="F36" s="143">
        <f t="shared" si="5"/>
        <v>10.661268159492327</v>
      </c>
      <c r="G36" s="143">
        <f t="shared" si="2"/>
        <v>-4.1712681594923264</v>
      </c>
      <c r="H36" s="143">
        <f t="shared" si="3"/>
        <v>4.1712681594923264</v>
      </c>
      <c r="I36" s="143">
        <f t="shared" si="4"/>
        <v>17.3994780583945</v>
      </c>
      <c r="J36" s="143">
        <v>18.911752098721195</v>
      </c>
    </row>
    <row r="37" spans="2:10">
      <c r="B37" s="2">
        <f t="shared" si="0"/>
        <v>2005</v>
      </c>
      <c r="C37" s="2">
        <v>35</v>
      </c>
      <c r="D37" s="2">
        <v>5.5</v>
      </c>
      <c r="E37" s="162">
        <f t="shared" si="1"/>
        <v>8.2369213981512406</v>
      </c>
      <c r="F37" s="143">
        <f t="shared" si="5"/>
        <v>9.4098877116446289</v>
      </c>
      <c r="G37" s="143">
        <f t="shared" si="2"/>
        <v>-3.9098877116446289</v>
      </c>
      <c r="H37" s="143">
        <f t="shared" si="3"/>
        <v>3.9098877116446289</v>
      </c>
      <c r="I37" s="143">
        <f t="shared" si="4"/>
        <v>15.287221917669672</v>
      </c>
      <c r="J37" s="143">
        <v>17.660371650873497</v>
      </c>
    </row>
    <row r="38" spans="2:10">
      <c r="B38" s="2">
        <f t="shared" si="0"/>
        <v>2006</v>
      </c>
      <c r="C38" s="2">
        <v>36</v>
      </c>
      <c r="D38" s="2">
        <v>4.8499999999999996</v>
      </c>
      <c r="E38" s="162">
        <f t="shared" si="1"/>
        <v>7.2208449787058679</v>
      </c>
      <c r="F38" s="143">
        <f t="shared" si="5"/>
        <v>8.2369213981512406</v>
      </c>
      <c r="G38" s="143">
        <f t="shared" si="2"/>
        <v>-3.3869213981512409</v>
      </c>
      <c r="H38" s="143">
        <f t="shared" si="3"/>
        <v>3.3869213981512409</v>
      </c>
      <c r="I38" s="143">
        <f t="shared" si="4"/>
        <v>11.471236557254757</v>
      </c>
      <c r="J38" s="143">
        <v>16.48740533738011</v>
      </c>
    </row>
    <row r="39" spans="2:10">
      <c r="B39" s="2">
        <f t="shared" si="0"/>
        <v>2007</v>
      </c>
      <c r="C39" s="2">
        <v>37</v>
      </c>
      <c r="D39" s="2">
        <v>4.4800000000000004</v>
      </c>
      <c r="E39" s="162">
        <f t="shared" si="1"/>
        <v>6.3985914850941077</v>
      </c>
      <c r="F39" s="143">
        <f t="shared" si="5"/>
        <v>7.2208449787058679</v>
      </c>
      <c r="G39" s="143">
        <f t="shared" si="2"/>
        <v>-2.7408449787058675</v>
      </c>
      <c r="H39" s="143">
        <f t="shared" si="3"/>
        <v>2.7408449787058675</v>
      </c>
      <c r="I39" s="143">
        <f t="shared" si="4"/>
        <v>7.5122311972971669</v>
      </c>
      <c r="J39" s="143">
        <v>15.471328917934736</v>
      </c>
    </row>
    <row r="40" spans="2:10">
      <c r="B40" s="2">
        <f t="shared" si="0"/>
        <v>2008</v>
      </c>
      <c r="C40" s="2">
        <v>38</v>
      </c>
      <c r="D40" s="2">
        <v>5.69</v>
      </c>
      <c r="E40" s="162">
        <f t="shared" si="1"/>
        <v>6.1860140395658751</v>
      </c>
      <c r="F40" s="143">
        <f t="shared" si="5"/>
        <v>6.3985914850941077</v>
      </c>
      <c r="G40" s="143">
        <f t="shared" si="2"/>
        <v>-0.7085914850941073</v>
      </c>
      <c r="H40" s="143">
        <f t="shared" si="3"/>
        <v>0.7085914850941073</v>
      </c>
      <c r="I40" s="143">
        <f t="shared" si="4"/>
        <v>0.50210189274787254</v>
      </c>
      <c r="J40" s="143">
        <v>14.649075424322977</v>
      </c>
    </row>
    <row r="41" spans="2:10">
      <c r="B41" s="2">
        <f t="shared" si="0"/>
        <v>2009</v>
      </c>
      <c r="C41" s="2">
        <v>39</v>
      </c>
      <c r="D41" s="2">
        <v>7.67</v>
      </c>
      <c r="E41" s="162">
        <f t="shared" si="1"/>
        <v>6.6312098276961127</v>
      </c>
      <c r="F41" s="143">
        <f t="shared" si="5"/>
        <v>6.1860140395658751</v>
      </c>
      <c r="G41" s="143">
        <f t="shared" si="2"/>
        <v>1.4839859604341248</v>
      </c>
      <c r="H41" s="143">
        <f t="shared" si="3"/>
        <v>1.4839859604341248</v>
      </c>
      <c r="I41" s="143">
        <f t="shared" si="4"/>
        <v>2.2022143307655919</v>
      </c>
      <c r="J41" s="143">
        <v>14.436497978794744</v>
      </c>
    </row>
    <row r="42" spans="2:10">
      <c r="B42" s="2">
        <f t="shared" si="0"/>
        <v>2010</v>
      </c>
      <c r="C42" s="2">
        <v>40</v>
      </c>
      <c r="D42" s="2">
        <v>2</v>
      </c>
      <c r="E42" s="162">
        <f t="shared" si="1"/>
        <v>5.2418468793872783</v>
      </c>
      <c r="F42" s="143">
        <f t="shared" si="5"/>
        <v>6.6312098276961127</v>
      </c>
      <c r="G42" s="143">
        <f t="shared" si="2"/>
        <v>-4.6312098276961127</v>
      </c>
      <c r="H42" s="143">
        <f t="shared" si="3"/>
        <v>4.6312098276961127</v>
      </c>
      <c r="I42" s="143">
        <f t="shared" si="4"/>
        <v>21.448104468149058</v>
      </c>
      <c r="J42" s="143">
        <v>14.881693766924981</v>
      </c>
    </row>
    <row r="43" spans="2:10">
      <c r="B43" s="2">
        <f t="shared" si="0"/>
        <v>2011</v>
      </c>
      <c r="C43" s="2">
        <v>41</v>
      </c>
      <c r="D43" s="2">
        <v>3.17</v>
      </c>
      <c r="E43" s="162">
        <f t="shared" si="1"/>
        <v>4.6202928155710943</v>
      </c>
      <c r="F43" s="143">
        <f t="shared" si="5"/>
        <v>5.2418468793872783</v>
      </c>
      <c r="G43" s="143">
        <f t="shared" si="2"/>
        <v>-2.0718468793872784</v>
      </c>
      <c r="H43" s="143">
        <f t="shared" si="3"/>
        <v>2.0718468793872784</v>
      </c>
      <c r="I43" s="143">
        <f t="shared" si="4"/>
        <v>4.2925494916268034</v>
      </c>
      <c r="J43" s="143">
        <v>13.492330818616146</v>
      </c>
    </row>
    <row r="44" spans="2:10">
      <c r="B44" s="2">
        <f t="shared" si="0"/>
        <v>2012</v>
      </c>
      <c r="C44" s="2">
        <v>42</v>
      </c>
      <c r="D44" s="2">
        <v>3.73</v>
      </c>
      <c r="E44" s="162">
        <f t="shared" si="1"/>
        <v>4.3532049708997658</v>
      </c>
      <c r="F44" s="143">
        <f t="shared" si="5"/>
        <v>4.6202928155710943</v>
      </c>
      <c r="G44" s="143">
        <f t="shared" si="2"/>
        <v>-0.8902928155710943</v>
      </c>
      <c r="H44" s="143">
        <f t="shared" si="3"/>
        <v>0.8902928155710943</v>
      </c>
      <c r="I44" s="143">
        <f t="shared" si="4"/>
        <v>0.79262129745750654</v>
      </c>
      <c r="J44" s="143">
        <v>12.870776754799962</v>
      </c>
    </row>
    <row r="45" spans="2:10">
      <c r="B45" s="2">
        <f t="shared" si="0"/>
        <v>2013</v>
      </c>
      <c r="C45" s="2">
        <v>43</v>
      </c>
      <c r="D45" s="2">
        <v>2.44</v>
      </c>
      <c r="E45" s="162">
        <f t="shared" si="1"/>
        <v>3.7792434796298355</v>
      </c>
      <c r="F45" s="143">
        <f t="shared" si="5"/>
        <v>4.3532049708997658</v>
      </c>
      <c r="G45" s="143">
        <f t="shared" si="2"/>
        <v>-1.9132049708997658</v>
      </c>
      <c r="H45" s="143">
        <f t="shared" si="3"/>
        <v>1.9132049708997658</v>
      </c>
      <c r="I45" s="143">
        <f t="shared" si="4"/>
        <v>3.6603532606755738</v>
      </c>
      <c r="J45" s="143">
        <v>12.603688910128634</v>
      </c>
    </row>
    <row r="46" spans="2:10">
      <c r="B46" s="2">
        <f t="shared" si="0"/>
        <v>2014</v>
      </c>
      <c r="C46" s="2">
        <v>44</v>
      </c>
      <c r="D46" s="2">
        <v>1.94</v>
      </c>
      <c r="E46" s="162">
        <f t="shared" si="1"/>
        <v>3.2274704357408845</v>
      </c>
      <c r="F46" s="143">
        <f t="shared" si="5"/>
        <v>3.7792434796298355</v>
      </c>
      <c r="G46" s="143">
        <f t="shared" si="2"/>
        <v>-1.8392434796298356</v>
      </c>
      <c r="H46" s="143">
        <f t="shared" si="3"/>
        <v>1.8392434796298356</v>
      </c>
      <c r="I46" s="143">
        <f t="shared" si="4"/>
        <v>3.3828165773608654</v>
      </c>
      <c r="J46" s="143">
        <v>12.029727418858704</v>
      </c>
    </row>
    <row r="47" spans="2:10">
      <c r="B47" s="2">
        <f t="shared" si="0"/>
        <v>2015</v>
      </c>
      <c r="C47" s="2">
        <v>45</v>
      </c>
      <c r="D47" s="2">
        <v>3.66</v>
      </c>
      <c r="E47" s="162">
        <f t="shared" si="1"/>
        <v>3.3572293050186195</v>
      </c>
      <c r="F47" s="143">
        <f t="shared" si="5"/>
        <v>3.2274704357408845</v>
      </c>
      <c r="G47" s="143">
        <f t="shared" si="2"/>
        <v>0.4325295642591156</v>
      </c>
      <c r="H47" s="143">
        <f t="shared" si="3"/>
        <v>0.4325295642591156</v>
      </c>
      <c r="I47" s="143">
        <f t="shared" si="4"/>
        <v>0.1870818239581804</v>
      </c>
      <c r="J47" s="143">
        <v>11.477954374969752</v>
      </c>
    </row>
    <row r="48" spans="2:10">
      <c r="B48" s="2">
        <f t="shared" si="0"/>
        <v>2016</v>
      </c>
      <c r="C48" s="2">
        <v>46</v>
      </c>
      <c r="D48" s="2">
        <v>6.77</v>
      </c>
      <c r="E48" s="162">
        <f t="shared" si="1"/>
        <v>4.3810605135130327</v>
      </c>
      <c r="F48" s="143">
        <f t="shared" si="5"/>
        <v>3.3572293050186195</v>
      </c>
      <c r="G48" s="143">
        <f t="shared" si="2"/>
        <v>3.4127706949813801</v>
      </c>
      <c r="H48" s="143">
        <f t="shared" si="3"/>
        <v>3.4127706949813801</v>
      </c>
      <c r="I48" s="143">
        <f t="shared" si="4"/>
        <v>11.647003816523693</v>
      </c>
      <c r="J48" s="143">
        <v>11.607713244247488</v>
      </c>
    </row>
    <row r="49" spans="2:10">
      <c r="B49" s="2">
        <f t="shared" si="0"/>
        <v>2017</v>
      </c>
      <c r="C49" s="2">
        <v>47</v>
      </c>
      <c r="D49" s="2">
        <v>5.75</v>
      </c>
      <c r="E49" s="162">
        <f t="shared" si="1"/>
        <v>4.7917423594591222</v>
      </c>
      <c r="F49" s="143">
        <f t="shared" si="5"/>
        <v>4.3810605135130327</v>
      </c>
      <c r="G49" s="143">
        <f t="shared" si="2"/>
        <v>1.3689394864869673</v>
      </c>
      <c r="H49" s="143">
        <f t="shared" si="3"/>
        <v>1.3689394864869673</v>
      </c>
      <c r="I49" s="143">
        <f t="shared" si="4"/>
        <v>1.8739953176632016</v>
      </c>
      <c r="J49" s="143">
        <v>12.631544452741901</v>
      </c>
    </row>
    <row r="50" spans="2:10">
      <c r="B50" s="2">
        <f t="shared" si="0"/>
        <v>2018</v>
      </c>
      <c r="C50" s="2">
        <v>48</v>
      </c>
      <c r="D50" s="2">
        <v>4.09</v>
      </c>
      <c r="E50" s="162">
        <f t="shared" si="1"/>
        <v>4.5812196516213852</v>
      </c>
      <c r="F50" s="143">
        <f t="shared" si="5"/>
        <v>4.7917423594591222</v>
      </c>
      <c r="G50" s="143">
        <f t="shared" si="2"/>
        <v>-0.70174235945912233</v>
      </c>
      <c r="H50" s="143">
        <f t="shared" si="3"/>
        <v>0.70174235945912233</v>
      </c>
      <c r="I50" s="143">
        <f t="shared" si="4"/>
        <v>0.49244233905925605</v>
      </c>
      <c r="J50" s="143">
        <v>13.042226298687989</v>
      </c>
    </row>
    <row r="51" spans="2:10">
      <c r="B51" s="2">
        <f>B52-1</f>
        <v>2019</v>
      </c>
      <c r="C51" s="2">
        <v>49</v>
      </c>
      <c r="D51" s="2">
        <v>3.18</v>
      </c>
      <c r="E51" s="162">
        <f t="shared" si="1"/>
        <v>4.1608537561349692</v>
      </c>
      <c r="F51" s="143">
        <f t="shared" si="5"/>
        <v>4.5812196516213852</v>
      </c>
      <c r="G51" s="143">
        <f t="shared" si="2"/>
        <v>-1.4012196516213851</v>
      </c>
      <c r="H51" s="143">
        <f t="shared" si="3"/>
        <v>1.4012196516213851</v>
      </c>
      <c r="I51" s="143">
        <f t="shared" si="4"/>
        <v>1.9634165120899558</v>
      </c>
      <c r="J51" s="143">
        <v>12.831703590850253</v>
      </c>
    </row>
    <row r="52" spans="2:10">
      <c r="B52" s="2">
        <v>2020</v>
      </c>
      <c r="C52" s="2">
        <v>50</v>
      </c>
      <c r="D52" s="2">
        <v>3.8</v>
      </c>
      <c r="E52" s="162">
        <f t="shared" si="1"/>
        <v>4.0525976292944783</v>
      </c>
      <c r="F52" s="143">
        <f t="shared" si="5"/>
        <v>4.1608537561349692</v>
      </c>
      <c r="G52" s="143">
        <f t="shared" si="2"/>
        <v>-0.36085375613496939</v>
      </c>
      <c r="H52" s="143">
        <f t="shared" si="3"/>
        <v>0.36085375613496939</v>
      </c>
      <c r="I52" s="143">
        <f t="shared" si="4"/>
        <v>0.13021543331671595</v>
      </c>
      <c r="J52" s="143">
        <v>12.411337695363837</v>
      </c>
    </row>
    <row r="53" spans="2:10">
      <c r="C53" s="2"/>
      <c r="E53" s="163"/>
      <c r="F53" s="126">
        <f t="shared" si="5"/>
        <v>4.0525976292944783</v>
      </c>
      <c r="G53" s="163"/>
      <c r="H53" s="163"/>
      <c r="I53" s="163"/>
      <c r="J53" s="163"/>
    </row>
    <row r="54" spans="2:10">
      <c r="C54" s="2"/>
    </row>
    <row r="55" spans="2:10" ht="15">
      <c r="B55" s="133" t="s">
        <v>6</v>
      </c>
      <c r="C55" s="138">
        <v>0.3</v>
      </c>
      <c r="F55" s="134" t="s">
        <v>5</v>
      </c>
      <c r="G55" s="156">
        <f>SUM(G23:G52)</f>
        <v>-59.246341235685009</v>
      </c>
      <c r="H55" s="156">
        <f>SUM(H23:H52)</f>
        <v>97.390692648008155</v>
      </c>
      <c r="I55" s="157">
        <f>SUM(I23:I52)</f>
        <v>531.57917454815833</v>
      </c>
    </row>
    <row r="56" spans="2:10" ht="15">
      <c r="B56" s="134" t="s">
        <v>8</v>
      </c>
      <c r="C56" s="136">
        <v>0.01</v>
      </c>
      <c r="F56" s="134" t="s">
        <v>7</v>
      </c>
      <c r="G56" s="158"/>
      <c r="H56" s="158">
        <f>(H55/COUNTA(H23:H52))</f>
        <v>3.246356421600272</v>
      </c>
      <c r="I56" s="159">
        <f>(I55/COUNTA(I23:I52))</f>
        <v>17.719305818271945</v>
      </c>
    </row>
    <row r="57" spans="2:10" ht="15">
      <c r="B57" s="135" t="s">
        <v>10</v>
      </c>
      <c r="C57" s="140">
        <v>0.3</v>
      </c>
      <c r="F57" s="134" t="s">
        <v>9</v>
      </c>
      <c r="G57" s="160"/>
      <c r="H57" s="160">
        <f>(1.25*H56)</f>
        <v>4.0579455270003404</v>
      </c>
      <c r="I57" s="161">
        <f>SQRT(I56)</f>
        <v>4.2094305812392188</v>
      </c>
    </row>
    <row r="59" spans="2:10">
      <c r="C59" s="2"/>
    </row>
    <row r="60" spans="2:10">
      <c r="C60" s="2"/>
    </row>
    <row r="61" spans="2:10">
      <c r="C61" s="2"/>
    </row>
    <row r="62" spans="2:10">
      <c r="C62" s="2"/>
    </row>
    <row r="63" spans="2:10">
      <c r="C63" s="2"/>
    </row>
    <row r="64" spans="2:10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</sheetData>
  <pageMargins left="0.75" right="0.75" top="1" bottom="1" header="0" footer="0"/>
  <pageSetup orientation="portrait" horizontalDpi="0" verticalDpi="0" copies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5007-A8E1-47B5-A969-8A50F0C2F7F2}">
  <sheetPr>
    <pageSetUpPr autoPageBreaks="0"/>
  </sheetPr>
  <dimension ref="A1:J41"/>
  <sheetViews>
    <sheetView showGridLines="0" zoomScale="70" zoomScaleNormal="70" workbookViewId="0">
      <selection activeCell="B1" sqref="B1"/>
    </sheetView>
  </sheetViews>
  <sheetFormatPr baseColWidth="10" defaultColWidth="11.42578125" defaultRowHeight="15"/>
  <cols>
    <col min="1" max="1" width="2.7109375" style="8" customWidth="1"/>
    <col min="2" max="2" width="30.7109375" style="9" customWidth="1"/>
    <col min="3" max="3" width="30.5703125" style="8" bestFit="1" customWidth="1"/>
    <col min="4" max="9" width="13.7109375" style="8" customWidth="1"/>
    <col min="10" max="10" width="14" style="12" bestFit="1" customWidth="1"/>
    <col min="11" max="16384" width="11.42578125" style="8"/>
  </cols>
  <sheetData>
    <row r="1" spans="1:10" ht="12.95" customHeight="1"/>
    <row r="2" spans="1:10" s="13" customFormat="1" ht="24.95" customHeight="1">
      <c r="A2" s="8"/>
      <c r="B2" s="10"/>
      <c r="C2" s="7" t="s">
        <v>11</v>
      </c>
      <c r="D2" s="7">
        <v>2020</v>
      </c>
      <c r="E2" s="7">
        <v>2021</v>
      </c>
      <c r="F2" s="7">
        <v>2022</v>
      </c>
      <c r="G2" s="7">
        <v>2023</v>
      </c>
      <c r="H2" s="7">
        <v>2024</v>
      </c>
      <c r="I2" s="7">
        <v>2025</v>
      </c>
    </row>
    <row r="3" spans="1:10" ht="18" customHeight="1">
      <c r="B3" s="11" t="s">
        <v>0</v>
      </c>
    </row>
    <row r="4" spans="1:10" ht="15" customHeight="1">
      <c r="B4" s="17" t="s">
        <v>154</v>
      </c>
      <c r="C4" s="18"/>
      <c r="D4" s="71">
        <f>Inflación!$F$53/100</f>
        <v>4.0525976292944785E-2</v>
      </c>
      <c r="E4" s="71">
        <f>Inflación!$F$53/100</f>
        <v>4.0525976292944785E-2</v>
      </c>
      <c r="F4" s="71">
        <f>Inflación!$F$53/100</f>
        <v>4.0525976292944785E-2</v>
      </c>
      <c r="G4" s="71">
        <f>Inflación!$F$53/100</f>
        <v>4.0525976292944785E-2</v>
      </c>
      <c r="H4" s="71">
        <f>Inflación!$F$53/100</f>
        <v>4.0525976292944785E-2</v>
      </c>
      <c r="I4" s="71">
        <f>Inflación!$F$53/100</f>
        <v>4.0525976292944785E-2</v>
      </c>
    </row>
    <row r="5" spans="1:10" ht="18" customHeight="1">
      <c r="B5" s="11" t="s">
        <v>155</v>
      </c>
    </row>
    <row r="6" spans="1:10" ht="15" customHeight="1">
      <c r="B6" s="17" t="s">
        <v>12</v>
      </c>
      <c r="C6" s="18" t="s">
        <v>21</v>
      </c>
      <c r="D6" s="19">
        <f>SMLV!D39</f>
        <v>877803</v>
      </c>
      <c r="E6" s="20">
        <f>SMLV!K40</f>
        <v>940622.01708093018</v>
      </c>
      <c r="F6" s="20">
        <f>SMLV!K41</f>
        <v>978618.11994616629</v>
      </c>
      <c r="G6" s="20">
        <f>SMLV!K42</f>
        <v>1016614.2228114019</v>
      </c>
      <c r="H6" s="20">
        <f>SMLV!K43</f>
        <v>1054610.3256766382</v>
      </c>
      <c r="I6" s="20">
        <f>SMLV!K44</f>
        <v>1092606.4285418736</v>
      </c>
      <c r="J6" s="29"/>
    </row>
    <row r="7" spans="1:10" ht="15" customHeight="1">
      <c r="B7" s="17" t="s">
        <v>13</v>
      </c>
      <c r="C7" s="18" t="s">
        <v>21</v>
      </c>
      <c r="D7" s="21">
        <f>'Auxilio de transporte'!D33</f>
        <v>102854</v>
      </c>
      <c r="E7" s="21">
        <f>'Auxilio de transporte'!K34</f>
        <v>110491.3555053577</v>
      </c>
      <c r="F7" s="21">
        <f>'Auxilio de transporte'!K35</f>
        <v>114982.76327305779</v>
      </c>
      <c r="G7" s="21">
        <f>'Auxilio de transporte'!K36</f>
        <v>119474.17104075797</v>
      </c>
      <c r="H7" s="21">
        <f>'Auxilio de transporte'!K37</f>
        <v>123965.57880845806</v>
      </c>
      <c r="I7" s="21">
        <f>'Auxilio de transporte'!K38</f>
        <v>128456.98657615815</v>
      </c>
    </row>
    <row r="8" spans="1:10" ht="18" customHeight="1">
      <c r="B8" s="62" t="s">
        <v>168</v>
      </c>
      <c r="C8" s="12"/>
      <c r="D8" s="28"/>
      <c r="E8" s="28"/>
      <c r="F8" s="28"/>
      <c r="G8" s="28"/>
      <c r="H8" s="28"/>
      <c r="I8" s="28"/>
    </row>
    <row r="9" spans="1:10">
      <c r="B9" s="17" t="s">
        <v>14</v>
      </c>
      <c r="C9" s="18" t="s">
        <v>157</v>
      </c>
      <c r="D9" s="22">
        <v>0.12</v>
      </c>
      <c r="E9" s="22">
        <v>0.12</v>
      </c>
      <c r="F9" s="22">
        <v>0.12</v>
      </c>
      <c r="G9" s="22">
        <v>0.12</v>
      </c>
      <c r="H9" s="22">
        <v>0.12</v>
      </c>
      <c r="I9" s="22">
        <v>0.12</v>
      </c>
    </row>
    <row r="10" spans="1:10">
      <c r="B10" s="17" t="s">
        <v>15</v>
      </c>
      <c r="C10" s="18" t="s">
        <v>157</v>
      </c>
      <c r="D10" s="23">
        <v>8.5000000000000006E-2</v>
      </c>
      <c r="E10" s="23">
        <v>8.5000000000000006E-2</v>
      </c>
      <c r="F10" s="23">
        <v>8.5000000000000006E-2</v>
      </c>
      <c r="G10" s="23">
        <v>8.5000000000000006E-2</v>
      </c>
      <c r="H10" s="23">
        <v>8.5000000000000006E-2</v>
      </c>
      <c r="I10" s="23">
        <v>8.5000000000000006E-2</v>
      </c>
    </row>
    <row r="11" spans="1:10">
      <c r="B11" s="17" t="s">
        <v>20</v>
      </c>
      <c r="C11" s="18" t="s">
        <v>157</v>
      </c>
      <c r="D11" s="23">
        <v>5.1999999999999998E-3</v>
      </c>
      <c r="E11" s="23">
        <v>5.1999999999999998E-3</v>
      </c>
      <c r="F11" s="23">
        <v>5.1999999999999998E-3</v>
      </c>
      <c r="G11" s="23">
        <v>5.1999999999999998E-3</v>
      </c>
      <c r="H11" s="23">
        <v>5.1999999999999998E-3</v>
      </c>
      <c r="I11" s="23">
        <v>5.1999999999999998E-3</v>
      </c>
    </row>
    <row r="12" spans="1:10" s="12" customFormat="1" ht="18" customHeight="1">
      <c r="B12" s="62" t="s">
        <v>156</v>
      </c>
      <c r="D12" s="70"/>
      <c r="E12" s="70"/>
      <c r="F12" s="70"/>
      <c r="G12" s="70"/>
      <c r="H12" s="70"/>
      <c r="I12" s="70"/>
    </row>
    <row r="13" spans="1:10" ht="15" customHeight="1">
      <c r="B13" s="17" t="s">
        <v>22</v>
      </c>
      <c r="C13" s="18" t="s">
        <v>159</v>
      </c>
      <c r="D13" s="23">
        <v>8.3299999999999999E-2</v>
      </c>
      <c r="E13" s="23">
        <v>8.3299999999999999E-2</v>
      </c>
      <c r="F13" s="23">
        <v>8.3299999999999999E-2</v>
      </c>
      <c r="G13" s="23">
        <v>8.3299999999999999E-2</v>
      </c>
      <c r="H13" s="23">
        <v>8.3299999999999999E-2</v>
      </c>
      <c r="I13" s="23">
        <v>8.3299999999999999E-2</v>
      </c>
    </row>
    <row r="14" spans="1:10" ht="15" customHeight="1">
      <c r="B14" s="17" t="s">
        <v>16</v>
      </c>
      <c r="C14" s="18" t="s">
        <v>159</v>
      </c>
      <c r="D14" s="23">
        <v>8.3299999999999999E-2</v>
      </c>
      <c r="E14" s="23">
        <v>8.3299999999999999E-2</v>
      </c>
      <c r="F14" s="23">
        <v>8.3299999999999999E-2</v>
      </c>
      <c r="G14" s="23">
        <v>8.3299999999999999E-2</v>
      </c>
      <c r="H14" s="23">
        <v>8.3299999999999999E-2</v>
      </c>
      <c r="I14" s="23">
        <v>8.3299999999999999E-2</v>
      </c>
    </row>
    <row r="15" spans="1:10" ht="15" customHeight="1">
      <c r="B15" s="17" t="s">
        <v>19</v>
      </c>
      <c r="C15" s="18" t="s">
        <v>159</v>
      </c>
      <c r="D15" s="22">
        <v>0.01</v>
      </c>
      <c r="E15" s="22">
        <v>0.01</v>
      </c>
      <c r="F15" s="22">
        <v>0.01</v>
      </c>
      <c r="G15" s="22">
        <v>0.01</v>
      </c>
      <c r="H15" s="22">
        <v>0.01</v>
      </c>
      <c r="I15" s="22">
        <v>0.01</v>
      </c>
    </row>
    <row r="16" spans="1:10" ht="15" customHeight="1">
      <c r="B16" s="17" t="s">
        <v>17</v>
      </c>
      <c r="C16" s="18" t="s">
        <v>158</v>
      </c>
      <c r="D16" s="23">
        <v>4.1700000000000001E-2</v>
      </c>
      <c r="E16" s="23">
        <v>4.1700000000000001E-2</v>
      </c>
      <c r="F16" s="23">
        <v>4.1700000000000001E-2</v>
      </c>
      <c r="G16" s="23">
        <v>4.1700000000000001E-2</v>
      </c>
      <c r="H16" s="23">
        <v>4.1700000000000001E-2</v>
      </c>
      <c r="I16" s="23">
        <v>4.1700000000000001E-2</v>
      </c>
    </row>
    <row r="17" spans="2:9" ht="15" customHeight="1">
      <c r="B17" s="17" t="s">
        <v>18</v>
      </c>
      <c r="C17" s="18" t="s">
        <v>158</v>
      </c>
      <c r="D17" s="22">
        <v>0.09</v>
      </c>
      <c r="E17" s="22">
        <v>0.09</v>
      </c>
      <c r="F17" s="22">
        <v>0.09</v>
      </c>
      <c r="G17" s="22">
        <v>0.09</v>
      </c>
      <c r="H17" s="22">
        <v>0.09</v>
      </c>
      <c r="I17" s="22">
        <v>0.09</v>
      </c>
    </row>
    <row r="18" spans="2:9" ht="15" customHeight="1">
      <c r="B18" s="17" t="s">
        <v>19</v>
      </c>
      <c r="C18" s="18" t="s">
        <v>159</v>
      </c>
      <c r="D18" s="22">
        <v>0.01</v>
      </c>
      <c r="E18" s="22">
        <v>0.01</v>
      </c>
      <c r="F18" s="22">
        <v>0.01</v>
      </c>
      <c r="G18" s="22">
        <v>0.01</v>
      </c>
      <c r="H18" s="22">
        <v>0.01</v>
      </c>
      <c r="I18" s="22">
        <v>0.01</v>
      </c>
    </row>
    <row r="19" spans="2:9" ht="18" customHeight="1">
      <c r="B19" s="11" t="s">
        <v>23</v>
      </c>
      <c r="E19" s="9"/>
      <c r="F19" s="9"/>
      <c r="G19" s="9"/>
      <c r="H19" s="9"/>
      <c r="I19" s="9"/>
    </row>
    <row r="20" spans="2:9" ht="15" customHeight="1">
      <c r="B20" s="17" t="s">
        <v>24</v>
      </c>
      <c r="C20" s="21" t="s">
        <v>21</v>
      </c>
      <c r="D20" s="19">
        <f>650000*(1+C37)</f>
        <v>650000</v>
      </c>
      <c r="E20" s="20">
        <f>D20*(1+E4)</f>
        <v>676341.88459041412</v>
      </c>
      <c r="F20" s="20">
        <f>E20*(1+F4)</f>
        <v>703751.29977125092</v>
      </c>
      <c r="G20" s="20">
        <f>F20*(1+G4)</f>
        <v>732271.50826190971</v>
      </c>
      <c r="H20" s="20">
        <f>G20*(1+H4)</f>
        <v>761947.5260457308</v>
      </c>
      <c r="I20" s="20">
        <f>H20*(1+I4)</f>
        <v>792826.1934227281</v>
      </c>
    </row>
    <row r="21" spans="2:9" ht="15" customHeight="1">
      <c r="B21" s="17" t="s">
        <v>79</v>
      </c>
      <c r="C21" s="21" t="s">
        <v>76</v>
      </c>
      <c r="D21" s="21">
        <f>D20*12</f>
        <v>7800000</v>
      </c>
      <c r="E21" s="21">
        <f t="shared" ref="E21:I21" si="0">E20*12</f>
        <v>8116102.6150849694</v>
      </c>
      <c r="F21" s="21">
        <f t="shared" si="0"/>
        <v>8445015.5972550102</v>
      </c>
      <c r="G21" s="21">
        <f t="shared" si="0"/>
        <v>8787258.0991429165</v>
      </c>
      <c r="H21" s="21">
        <f t="shared" si="0"/>
        <v>9143370.3125487696</v>
      </c>
      <c r="I21" s="21">
        <f t="shared" si="0"/>
        <v>9513914.3210727368</v>
      </c>
    </row>
    <row r="22" spans="2:9" ht="18" customHeight="1">
      <c r="B22" s="11" t="s">
        <v>25</v>
      </c>
      <c r="D22" s="24"/>
    </row>
    <row r="23" spans="2:9" ht="15" customHeight="1">
      <c r="B23" s="17" t="s">
        <v>26</v>
      </c>
      <c r="C23" s="18" t="s">
        <v>160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</row>
    <row r="24" spans="2:9" ht="15" customHeight="1">
      <c r="B24" s="17" t="s">
        <v>27</v>
      </c>
      <c r="C24" s="18" t="s">
        <v>30</v>
      </c>
      <c r="D24" s="18">
        <v>3.3</v>
      </c>
      <c r="E24" s="18">
        <v>3.3</v>
      </c>
      <c r="F24" s="18">
        <v>3.3</v>
      </c>
      <c r="G24" s="18">
        <v>3.3</v>
      </c>
      <c r="H24" s="18">
        <v>3.3</v>
      </c>
      <c r="I24" s="18">
        <v>3.3</v>
      </c>
    </row>
    <row r="25" spans="2:9" ht="15" customHeight="1">
      <c r="B25" s="17" t="s">
        <v>28</v>
      </c>
      <c r="C25" s="18" t="s">
        <v>161</v>
      </c>
      <c r="D25" s="22">
        <v>0.15</v>
      </c>
      <c r="E25" s="22">
        <v>0.15</v>
      </c>
      <c r="F25" s="22">
        <v>0.15</v>
      </c>
      <c r="G25" s="22">
        <v>0.15</v>
      </c>
      <c r="H25" s="22">
        <v>0.15</v>
      </c>
      <c r="I25" s="22">
        <v>0.15</v>
      </c>
    </row>
    <row r="26" spans="2:9" ht="15" customHeight="1">
      <c r="B26" s="17" t="s">
        <v>29</v>
      </c>
      <c r="C26" s="18" t="s">
        <v>162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2:9" ht="15" customHeight="1">
      <c r="B27" s="17" t="s">
        <v>163</v>
      </c>
      <c r="C27" s="18" t="s">
        <v>164</v>
      </c>
      <c r="D27" s="22">
        <v>0.1</v>
      </c>
      <c r="E27" s="22">
        <v>0.1</v>
      </c>
      <c r="F27" s="22">
        <v>0.1</v>
      </c>
      <c r="G27" s="22">
        <v>0.1</v>
      </c>
      <c r="H27" s="22">
        <v>0.1</v>
      </c>
      <c r="I27" s="22">
        <v>0.1</v>
      </c>
    </row>
    <row r="28" spans="2:9" ht="18" customHeight="1">
      <c r="B28" s="11" t="s">
        <v>133</v>
      </c>
      <c r="C28" s="12"/>
      <c r="D28" s="57"/>
      <c r="E28" s="57"/>
      <c r="F28" s="57"/>
      <c r="G28" s="57"/>
      <c r="H28" s="57"/>
      <c r="I28" s="57"/>
    </row>
    <row r="29" spans="2:9" ht="15" customHeight="1">
      <c r="B29" s="17" t="s">
        <v>134</v>
      </c>
      <c r="C29" s="22" t="s">
        <v>73</v>
      </c>
      <c r="D29" s="69">
        <v>0.05</v>
      </c>
      <c r="E29" s="69">
        <v>0.05</v>
      </c>
      <c r="F29" s="69">
        <v>0.05</v>
      </c>
      <c r="G29" s="69">
        <v>0.05</v>
      </c>
      <c r="H29" s="69">
        <v>0.05</v>
      </c>
      <c r="I29" s="69">
        <v>0.05</v>
      </c>
    </row>
    <row r="30" spans="2:9" ht="15" customHeight="1">
      <c r="B30" s="17" t="s">
        <v>74</v>
      </c>
      <c r="C30" s="18" t="s">
        <v>137</v>
      </c>
      <c r="D30" s="69">
        <v>0.5</v>
      </c>
      <c r="E30" s="69">
        <v>0.5</v>
      </c>
      <c r="F30" s="69">
        <v>0.5</v>
      </c>
      <c r="G30" s="69">
        <v>0.5</v>
      </c>
      <c r="H30" s="69">
        <v>0.5</v>
      </c>
      <c r="I30" s="69">
        <v>0.5</v>
      </c>
    </row>
    <row r="31" spans="2:9" ht="15" customHeight="1">
      <c r="B31" s="17" t="s">
        <v>135</v>
      </c>
      <c r="C31" s="18" t="s">
        <v>73</v>
      </c>
      <c r="D31" s="69">
        <v>0.05</v>
      </c>
      <c r="E31" s="69">
        <v>0.05</v>
      </c>
      <c r="F31" s="69">
        <v>0.05</v>
      </c>
      <c r="G31" s="69">
        <v>0.05</v>
      </c>
      <c r="H31" s="69">
        <v>0.05</v>
      </c>
      <c r="I31" s="69">
        <v>0.05</v>
      </c>
    </row>
    <row r="32" spans="2:9" ht="18" customHeight="1">
      <c r="B32" s="11" t="s">
        <v>167</v>
      </c>
    </row>
    <row r="33" spans="2:9" ht="15" customHeight="1">
      <c r="B33" s="17" t="s">
        <v>126</v>
      </c>
      <c r="C33" s="18" t="s">
        <v>136</v>
      </c>
      <c r="D33" s="17">
        <f>17.75/100</f>
        <v>0.17749999999999999</v>
      </c>
      <c r="E33" s="17"/>
      <c r="F33" s="17"/>
      <c r="G33" s="17"/>
      <c r="H33" s="17"/>
      <c r="I33" s="17"/>
    </row>
    <row r="34" spans="2:9" ht="15" customHeight="1">
      <c r="B34" s="17" t="s">
        <v>127</v>
      </c>
      <c r="C34" s="18" t="s">
        <v>165</v>
      </c>
      <c r="D34" s="17">
        <v>36</v>
      </c>
      <c r="E34" s="17"/>
      <c r="F34" s="17"/>
      <c r="G34" s="17"/>
      <c r="H34" s="17"/>
      <c r="I34" s="17"/>
    </row>
    <row r="35" spans="2:9" ht="15" customHeight="1">
      <c r="B35" s="17" t="s">
        <v>131</v>
      </c>
      <c r="C35" s="18" t="s">
        <v>166</v>
      </c>
      <c r="D35" s="17"/>
      <c r="E35" s="17"/>
      <c r="F35" s="17"/>
      <c r="G35" s="17"/>
      <c r="H35" s="17"/>
      <c r="I35" s="17"/>
    </row>
    <row r="36" spans="2:9">
      <c r="B36" s="11" t="s">
        <v>180</v>
      </c>
    </row>
    <row r="37" spans="2:9">
      <c r="B37" s="17" t="s">
        <v>23</v>
      </c>
      <c r="C37" s="22">
        <v>0</v>
      </c>
    </row>
    <row r="38" spans="2:9">
      <c r="B38" s="17" t="s">
        <v>31</v>
      </c>
      <c r="C38" s="22">
        <v>0</v>
      </c>
    </row>
    <row r="39" spans="2:9">
      <c r="B39" s="11" t="s">
        <v>203</v>
      </c>
    </row>
    <row r="40" spans="2:9">
      <c r="B40" s="17" t="s">
        <v>204</v>
      </c>
      <c r="C40" s="18" t="s">
        <v>205</v>
      </c>
      <c r="D40" s="17">
        <v>15</v>
      </c>
    </row>
    <row r="41" spans="2:9">
      <c r="B41" s="17" t="s">
        <v>233</v>
      </c>
      <c r="C41" s="18" t="s">
        <v>136</v>
      </c>
      <c r="D41" s="41">
        <v>0</v>
      </c>
      <c r="E41" s="41">
        <v>0</v>
      </c>
      <c r="F41" s="41">
        <v>0</v>
      </c>
      <c r="G41" s="41">
        <v>0.1</v>
      </c>
      <c r="H41" s="41">
        <v>0.2</v>
      </c>
      <c r="I41" s="41">
        <v>0.3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9481-12DC-4CD8-ABF8-584495CE8582}">
  <dimension ref="B1:N48"/>
  <sheetViews>
    <sheetView showGridLines="0" zoomScale="70" zoomScaleNormal="70" workbookViewId="0">
      <selection activeCell="B1" sqref="B1"/>
    </sheetView>
  </sheetViews>
  <sheetFormatPr baseColWidth="10" defaultColWidth="11.42578125" defaultRowHeight="15"/>
  <cols>
    <col min="1" max="1" width="2.7109375" style="8" customWidth="1"/>
    <col min="2" max="2" width="35.7109375" style="9" customWidth="1"/>
    <col min="3" max="3" width="17.7109375" style="8" bestFit="1" customWidth="1"/>
    <col min="4" max="10" width="16.7109375" style="8" customWidth="1"/>
    <col min="11" max="11" width="16.7109375" style="12" customWidth="1"/>
    <col min="12" max="12" width="12.85546875" style="8" bestFit="1" customWidth="1"/>
    <col min="13" max="13" width="13.140625" style="8" bestFit="1" customWidth="1"/>
    <col min="14" max="16384" width="11.42578125" style="8"/>
  </cols>
  <sheetData>
    <row r="1" spans="2:11" ht="12.95" customHeight="1">
      <c r="J1" s="12"/>
      <c r="K1" s="8"/>
    </row>
    <row r="2" spans="2:11" ht="24.95" customHeight="1">
      <c r="B2" s="7" t="s">
        <v>169</v>
      </c>
      <c r="C2" s="7" t="s">
        <v>33</v>
      </c>
      <c r="D2" s="7" t="s">
        <v>172</v>
      </c>
      <c r="E2" s="7" t="s">
        <v>171</v>
      </c>
      <c r="F2" s="7">
        <v>2021</v>
      </c>
      <c r="G2" s="7">
        <v>2022</v>
      </c>
      <c r="H2" s="7">
        <v>2023</v>
      </c>
      <c r="I2" s="7">
        <v>2024</v>
      </c>
      <c r="J2" s="7">
        <v>2025</v>
      </c>
      <c r="K2" s="8"/>
    </row>
    <row r="3" spans="2:11" ht="18" customHeight="1">
      <c r="B3" s="11" t="s">
        <v>170</v>
      </c>
      <c r="C3" s="11"/>
      <c r="E3" s="30">
        <f>SUM(E4:E5)</f>
        <v>12169000</v>
      </c>
      <c r="F3" s="29"/>
      <c r="G3" s="29"/>
      <c r="H3" s="29"/>
      <c r="I3" s="29"/>
      <c r="J3" s="29"/>
      <c r="K3" s="8"/>
    </row>
    <row r="4" spans="2:11" ht="15" customHeight="1">
      <c r="B4" s="17" t="s">
        <v>173</v>
      </c>
      <c r="C4" s="34">
        <f>48*4*10</f>
        <v>1920</v>
      </c>
      <c r="D4" s="31">
        <v>5500</v>
      </c>
      <c r="E4" s="34">
        <f>D4*C4</f>
        <v>10560000</v>
      </c>
      <c r="F4" s="34"/>
      <c r="G4" s="34"/>
      <c r="H4" s="34"/>
      <c r="I4" s="34"/>
      <c r="J4" s="34"/>
      <c r="K4" s="8"/>
    </row>
    <row r="5" spans="2:11" ht="15" customHeight="1">
      <c r="B5" s="17" t="s">
        <v>174</v>
      </c>
      <c r="C5" s="34">
        <v>10</v>
      </c>
      <c r="D5" s="31">
        <v>160900</v>
      </c>
      <c r="E5" s="34">
        <f>D5*C5</f>
        <v>1609000</v>
      </c>
      <c r="F5" s="34"/>
      <c r="G5" s="34"/>
      <c r="H5" s="34"/>
      <c r="I5" s="34"/>
      <c r="J5" s="34"/>
      <c r="K5" s="8"/>
    </row>
    <row r="6" spans="2:11" ht="18" customHeight="1">
      <c r="B6" s="11" t="s">
        <v>35</v>
      </c>
      <c r="E6" s="30">
        <f>SUM(E7:E13)</f>
        <v>9929708</v>
      </c>
      <c r="F6" s="30">
        <f t="shared" ref="F6:I6" si="0">SUM(F7:F13)</f>
        <v>728264.13080743211</v>
      </c>
      <c r="G6" s="30">
        <f t="shared" si="0"/>
        <v>757777.74570753623</v>
      </c>
      <c r="H6" s="30">
        <f t="shared" si="0"/>
        <v>11186526.544246694</v>
      </c>
      <c r="I6" s="30">
        <f t="shared" si="0"/>
        <v>820441.65150678018</v>
      </c>
      <c r="J6" s="30">
        <f>SUM(J7:J13)</f>
        <v>853690.85042548843</v>
      </c>
      <c r="K6" s="8"/>
    </row>
    <row r="7" spans="2:11" ht="15" customHeight="1">
      <c r="B7" s="17" t="s">
        <v>36</v>
      </c>
      <c r="C7" s="34">
        <v>1</v>
      </c>
      <c r="D7" s="21">
        <v>5693202</v>
      </c>
      <c r="E7" s="34">
        <f>D7*C7</f>
        <v>5693202</v>
      </c>
      <c r="F7" s="34">
        <f t="shared" ref="F7:F13" si="1">E34*D34</f>
        <v>0</v>
      </c>
      <c r="G7" s="34">
        <f t="shared" ref="G7:G13" si="2">F34*G34</f>
        <v>0</v>
      </c>
      <c r="H7" s="34">
        <f t="shared" ref="H7:H13" si="3">H34*I34</f>
        <v>6413799.4082764937</v>
      </c>
      <c r="I7" s="34">
        <f t="shared" ref="I7:I13" si="4">J34*K34</f>
        <v>0</v>
      </c>
      <c r="J7" s="34">
        <f t="shared" ref="J7:J13" si="5">M34*L34</f>
        <v>0</v>
      </c>
      <c r="K7" s="8"/>
    </row>
    <row r="8" spans="2:11" ht="15" customHeight="1">
      <c r="B8" s="17" t="s">
        <v>37</v>
      </c>
      <c r="C8" s="34">
        <v>1</v>
      </c>
      <c r="D8" s="21">
        <v>1734390</v>
      </c>
      <c r="E8" s="34">
        <f t="shared" ref="E8:E13" si="6">D8*C8</f>
        <v>1734390</v>
      </c>
      <c r="F8" s="34">
        <f t="shared" si="1"/>
        <v>0</v>
      </c>
      <c r="G8" s="34">
        <f t="shared" si="2"/>
        <v>0</v>
      </c>
      <c r="H8" s="34">
        <f t="shared" si="3"/>
        <v>1953914.4326374978</v>
      </c>
      <c r="I8" s="34">
        <f t="shared" si="4"/>
        <v>0</v>
      </c>
      <c r="J8" s="34">
        <f t="shared" si="5"/>
        <v>0</v>
      </c>
      <c r="K8" s="8"/>
    </row>
    <row r="9" spans="2:11" ht="15" customHeight="1">
      <c r="B9" s="17" t="s">
        <v>44</v>
      </c>
      <c r="C9" s="34"/>
      <c r="D9" s="21"/>
      <c r="E9" s="34">
        <f t="shared" si="6"/>
        <v>0</v>
      </c>
      <c r="F9" s="34">
        <f t="shared" si="1"/>
        <v>728264.13080743211</v>
      </c>
      <c r="G9" s="34">
        <f t="shared" si="2"/>
        <v>757777.74570753623</v>
      </c>
      <c r="H9" s="34">
        <f t="shared" si="3"/>
        <v>0</v>
      </c>
      <c r="I9" s="34">
        <f t="shared" si="4"/>
        <v>820441.65150678018</v>
      </c>
      <c r="J9" s="34">
        <f t="shared" si="5"/>
        <v>853690.85042548843</v>
      </c>
      <c r="K9" s="8"/>
    </row>
    <row r="10" spans="2:11" ht="15" customHeight="1">
      <c r="B10" s="17" t="s">
        <v>38</v>
      </c>
      <c r="C10" s="34">
        <v>1</v>
      </c>
      <c r="D10" s="21">
        <v>552416</v>
      </c>
      <c r="E10" s="34">
        <f t="shared" si="6"/>
        <v>552416</v>
      </c>
      <c r="F10" s="34">
        <f t="shared" si="1"/>
        <v>0</v>
      </c>
      <c r="G10" s="34">
        <f t="shared" si="2"/>
        <v>0</v>
      </c>
      <c r="H10" s="34">
        <f t="shared" si="3"/>
        <v>622336.1500123248</v>
      </c>
      <c r="I10" s="34">
        <f t="shared" si="4"/>
        <v>0</v>
      </c>
      <c r="J10" s="34">
        <f t="shared" si="5"/>
        <v>0</v>
      </c>
      <c r="K10" s="8"/>
    </row>
    <row r="11" spans="2:11" ht="15" customHeight="1">
      <c r="B11" s="17" t="s">
        <v>39</v>
      </c>
      <c r="C11" s="34">
        <v>1</v>
      </c>
      <c r="D11" s="21">
        <v>651900</v>
      </c>
      <c r="E11" s="34">
        <f t="shared" si="6"/>
        <v>651900</v>
      </c>
      <c r="F11" s="34">
        <f t="shared" si="1"/>
        <v>0</v>
      </c>
      <c r="G11" s="34">
        <f t="shared" si="2"/>
        <v>0</v>
      </c>
      <c r="H11" s="34">
        <f t="shared" si="3"/>
        <v>734411.99420913693</v>
      </c>
      <c r="I11" s="34">
        <f t="shared" si="4"/>
        <v>0</v>
      </c>
      <c r="J11" s="34">
        <f t="shared" si="5"/>
        <v>0</v>
      </c>
      <c r="K11" s="8"/>
    </row>
    <row r="12" spans="2:11" ht="15" customHeight="1">
      <c r="B12" s="17" t="s">
        <v>40</v>
      </c>
      <c r="C12" s="34">
        <v>1</v>
      </c>
      <c r="D12" s="21">
        <v>749900</v>
      </c>
      <c r="E12" s="34">
        <f t="shared" si="6"/>
        <v>749900</v>
      </c>
      <c r="F12" s="34">
        <f t="shared" si="1"/>
        <v>0</v>
      </c>
      <c r="G12" s="34">
        <f t="shared" si="2"/>
        <v>0</v>
      </c>
      <c r="H12" s="34">
        <f t="shared" si="3"/>
        <v>844816.00622400944</v>
      </c>
      <c r="I12" s="34">
        <f t="shared" si="4"/>
        <v>0</v>
      </c>
      <c r="J12" s="34">
        <f t="shared" si="5"/>
        <v>0</v>
      </c>
      <c r="K12" s="8"/>
    </row>
    <row r="13" spans="2:11" ht="15" customHeight="1">
      <c r="B13" s="17" t="s">
        <v>41</v>
      </c>
      <c r="C13" s="34">
        <v>1</v>
      </c>
      <c r="D13" s="21">
        <v>547900</v>
      </c>
      <c r="E13" s="34">
        <f t="shared" si="6"/>
        <v>547900</v>
      </c>
      <c r="F13" s="34">
        <f t="shared" si="1"/>
        <v>0</v>
      </c>
      <c r="G13" s="34">
        <f t="shared" si="2"/>
        <v>0</v>
      </c>
      <c r="H13" s="34">
        <f t="shared" si="3"/>
        <v>617248.55288723134</v>
      </c>
      <c r="I13" s="34">
        <f t="shared" si="4"/>
        <v>0</v>
      </c>
      <c r="J13" s="34">
        <f t="shared" si="5"/>
        <v>0</v>
      </c>
      <c r="K13" s="8"/>
    </row>
    <row r="14" spans="2:11" ht="18" customHeight="1">
      <c r="B14" s="11" t="s">
        <v>32</v>
      </c>
      <c r="C14" s="9"/>
      <c r="D14" s="9"/>
      <c r="E14" s="35">
        <f>SUM(E15:E18)</f>
        <v>779400</v>
      </c>
      <c r="F14" s="35">
        <f t="shared" ref="F14" si="7">SUM(F15:F18)</f>
        <v>499140.31082772568</v>
      </c>
      <c r="G14" s="35">
        <f t="shared" ref="G14" si="8">SUM(G15:G18)</f>
        <v>281283.98104703228</v>
      </c>
      <c r="H14" s="35">
        <f t="shared" ref="H14" si="9">SUM(H15:H18)</f>
        <v>0</v>
      </c>
      <c r="I14" s="35">
        <f t="shared" ref="I14" si="10">SUM(I15:I18)</f>
        <v>914337.0312548771</v>
      </c>
      <c r="J14" s="35">
        <f t="shared" ref="J14" si="11">SUM(J15:J18)</f>
        <v>0</v>
      </c>
      <c r="K14" s="35"/>
    </row>
    <row r="15" spans="2:11" ht="15" customHeight="1">
      <c r="B15" s="33" t="s">
        <v>42</v>
      </c>
      <c r="C15" s="34">
        <v>3</v>
      </c>
      <c r="D15" s="21">
        <v>159900</v>
      </c>
      <c r="E15" s="34">
        <f>C15*D15</f>
        <v>479700</v>
      </c>
      <c r="F15" s="34">
        <f>E42*D42</f>
        <v>166380.10360924189</v>
      </c>
      <c r="G15" s="34">
        <f>F42*G42</f>
        <v>173122.81974372774</v>
      </c>
      <c r="H15" s="34">
        <f>H42*I42</f>
        <v>0</v>
      </c>
      <c r="I15" s="34">
        <f>J42*K42</f>
        <v>0</v>
      </c>
      <c r="J15" s="34">
        <f>M42*L42</f>
        <v>0</v>
      </c>
      <c r="K15" s="8"/>
    </row>
    <row r="16" spans="2:11" ht="15" customHeight="1">
      <c r="B16" s="17" t="s">
        <v>43</v>
      </c>
      <c r="C16" s="34">
        <v>3</v>
      </c>
      <c r="D16" s="21">
        <v>99900</v>
      </c>
      <c r="E16" s="34">
        <f t="shared" ref="E16:E18" si="12">C16*D16</f>
        <v>299700</v>
      </c>
      <c r="F16" s="34">
        <f>E43*D43</f>
        <v>103948.54503166518</v>
      </c>
      <c r="G16" s="34">
        <f>F43*G43</f>
        <v>108161.16130330456</v>
      </c>
      <c r="H16" s="34">
        <f>H43*I43</f>
        <v>0</v>
      </c>
      <c r="I16" s="34">
        <f>J43*K43</f>
        <v>0</v>
      </c>
      <c r="J16" s="34">
        <f>M43*L43</f>
        <v>0</v>
      </c>
      <c r="K16" s="8"/>
    </row>
    <row r="17" spans="2:13" ht="15" customHeight="1">
      <c r="B17" s="17" t="s">
        <v>46</v>
      </c>
      <c r="C17" s="34"/>
      <c r="D17" s="21"/>
      <c r="E17" s="34">
        <f t="shared" si="12"/>
        <v>0</v>
      </c>
      <c r="F17" s="34">
        <f>E44*D44</f>
        <v>0</v>
      </c>
      <c r="G17" s="34">
        <f>F44*G44</f>
        <v>0</v>
      </c>
      <c r="H17" s="34">
        <f>H44*I44</f>
        <v>0</v>
      </c>
      <c r="I17" s="34">
        <f>J44*K44</f>
        <v>914337.0312548771</v>
      </c>
      <c r="J17" s="34">
        <f>M44*L44</f>
        <v>0</v>
      </c>
      <c r="K17" s="8"/>
    </row>
    <row r="18" spans="2:13" ht="15" customHeight="1">
      <c r="B18" s="17" t="s">
        <v>45</v>
      </c>
      <c r="C18" s="34"/>
      <c r="D18" s="31"/>
      <c r="E18" s="34">
        <f t="shared" si="12"/>
        <v>0</v>
      </c>
      <c r="F18" s="34">
        <f>E45*D45</f>
        <v>228811.66218681858</v>
      </c>
      <c r="G18" s="34">
        <f>F45*G45</f>
        <v>0</v>
      </c>
      <c r="H18" s="34">
        <f>H45*I45</f>
        <v>0</v>
      </c>
      <c r="I18" s="34">
        <f>J45*K45</f>
        <v>0</v>
      </c>
      <c r="J18" s="34">
        <f>M45*L45</f>
        <v>0</v>
      </c>
      <c r="K18" s="8"/>
    </row>
    <row r="19" spans="2:13" ht="18" customHeight="1">
      <c r="B19" s="11" t="s">
        <v>67</v>
      </c>
      <c r="C19" s="37"/>
      <c r="D19" s="37"/>
      <c r="E19" s="37">
        <f>E20</f>
        <v>5400000</v>
      </c>
      <c r="F19" s="37">
        <f>F20</f>
        <v>0</v>
      </c>
      <c r="G19" s="37">
        <f t="shared" ref="G19" si="13">G20</f>
        <v>0</v>
      </c>
      <c r="H19" s="37">
        <f t="shared" ref="H19" si="14">H20</f>
        <v>0</v>
      </c>
      <c r="I19" s="37">
        <f t="shared" ref="I19" si="15">I20</f>
        <v>0</v>
      </c>
      <c r="J19" s="37">
        <f t="shared" ref="J19" si="16">J20</f>
        <v>6586556.0684349732</v>
      </c>
      <c r="K19" s="37"/>
    </row>
    <row r="20" spans="2:13" ht="15" customHeight="1">
      <c r="B20" s="72" t="s">
        <v>68</v>
      </c>
      <c r="C20" s="34">
        <v>1</v>
      </c>
      <c r="D20" s="74">
        <v>5400000</v>
      </c>
      <c r="E20" s="74">
        <f>C20*D20</f>
        <v>5400000</v>
      </c>
      <c r="F20" s="34">
        <f>E47*D47</f>
        <v>0</v>
      </c>
      <c r="G20" s="34">
        <f>F47*G47</f>
        <v>0</v>
      </c>
      <c r="H20" s="34">
        <f>H47*I47</f>
        <v>0</v>
      </c>
      <c r="I20" s="34">
        <f>J47*K47</f>
        <v>0</v>
      </c>
      <c r="J20" s="34">
        <f>M47*L47</f>
        <v>6586556.0684349732</v>
      </c>
      <c r="K20" s="8"/>
    </row>
    <row r="21" spans="2:13" ht="15" customHeight="1">
      <c r="B21" s="80" t="s">
        <v>177</v>
      </c>
      <c r="C21" s="81"/>
      <c r="D21" s="82"/>
      <c r="E21" s="83">
        <f t="shared" ref="E21:J21" si="17">E14+E6+E3+E19</f>
        <v>28278108</v>
      </c>
      <c r="F21" s="83">
        <f t="shared" si="17"/>
        <v>1227404.4416351579</v>
      </c>
      <c r="G21" s="83">
        <f t="shared" si="17"/>
        <v>1039061.7267545685</v>
      </c>
      <c r="H21" s="83">
        <f t="shared" si="17"/>
        <v>11186526.544246694</v>
      </c>
      <c r="I21" s="83">
        <f t="shared" si="17"/>
        <v>1734778.6827616573</v>
      </c>
      <c r="J21" s="83">
        <f t="shared" si="17"/>
        <v>7440246.9188604616</v>
      </c>
      <c r="K21" s="8"/>
    </row>
    <row r="22" spans="2:13" ht="12.95" customHeight="1"/>
    <row r="23" spans="2:13" ht="20.100000000000001" customHeight="1">
      <c r="B23" s="7" t="s">
        <v>116</v>
      </c>
      <c r="C23" s="7">
        <v>2020</v>
      </c>
      <c r="D23" s="7">
        <v>2021</v>
      </c>
      <c r="E23" s="7">
        <v>2022</v>
      </c>
      <c r="F23" s="7">
        <v>2023</v>
      </c>
      <c r="G23" s="7">
        <v>2024</v>
      </c>
      <c r="H23" s="7">
        <v>2025</v>
      </c>
      <c r="I23" s="12"/>
      <c r="K23" s="8"/>
    </row>
    <row r="24" spans="2:13" ht="15" customHeight="1">
      <c r="B24" s="72" t="s">
        <v>170</v>
      </c>
      <c r="C24" s="21">
        <f>E3/7</f>
        <v>1738428.5714285714</v>
      </c>
      <c r="D24" s="21"/>
      <c r="E24" s="21"/>
      <c r="F24" s="21"/>
      <c r="G24" s="21"/>
      <c r="H24" s="21"/>
      <c r="I24" s="12"/>
      <c r="K24" s="8"/>
    </row>
    <row r="25" spans="2:13" ht="15" customHeight="1">
      <c r="B25" s="72" t="s">
        <v>35</v>
      </c>
      <c r="C25" s="21">
        <f t="shared" ref="C25:H25" si="18">E6/3</f>
        <v>3309902.6666666665</v>
      </c>
      <c r="D25" s="21">
        <f t="shared" si="18"/>
        <v>242754.71026914404</v>
      </c>
      <c r="E25" s="21">
        <f t="shared" si="18"/>
        <v>252592.58190251209</v>
      </c>
      <c r="F25" s="21">
        <f t="shared" si="18"/>
        <v>3728842.1814155648</v>
      </c>
      <c r="G25" s="21">
        <f t="shared" si="18"/>
        <v>273480.55050226004</v>
      </c>
      <c r="H25" s="21">
        <f t="shared" si="18"/>
        <v>284563.61680849612</v>
      </c>
      <c r="I25" s="12"/>
      <c r="K25" s="8"/>
    </row>
    <row r="26" spans="2:13" ht="15" customHeight="1">
      <c r="B26" s="72" t="s">
        <v>32</v>
      </c>
      <c r="C26" s="21">
        <f>E14/10</f>
        <v>77940</v>
      </c>
      <c r="D26" s="21">
        <f>F14/10</f>
        <v>49914.03108277257</v>
      </c>
      <c r="E26" s="21">
        <f t="shared" ref="E26" si="19">G14/10</f>
        <v>28128.398104703228</v>
      </c>
      <c r="F26" s="21"/>
      <c r="G26" s="21">
        <f>I14/10</f>
        <v>91433.703125487707</v>
      </c>
      <c r="H26" s="21"/>
      <c r="I26" s="12"/>
      <c r="K26" s="8"/>
    </row>
    <row r="27" spans="2:13" ht="15" customHeight="1">
      <c r="B27" s="72" t="s">
        <v>67</v>
      </c>
      <c r="C27" s="21">
        <f>E19/5</f>
        <v>1080000</v>
      </c>
      <c r="D27" s="21"/>
      <c r="E27" s="21"/>
      <c r="F27" s="21"/>
      <c r="G27" s="21"/>
      <c r="H27" s="21">
        <f>J19/5</f>
        <v>1317311.2136869947</v>
      </c>
      <c r="I27" s="12"/>
      <c r="K27" s="8"/>
    </row>
    <row r="28" spans="2:13" ht="18" customHeight="1">
      <c r="B28" s="84" t="s">
        <v>153</v>
      </c>
      <c r="C28" s="83">
        <v>0</v>
      </c>
      <c r="D28" s="83">
        <f>SUM(C24:C27)</f>
        <v>6206271.2380952379</v>
      </c>
      <c r="E28" s="83">
        <f>D28+SUM(D24:D27)</f>
        <v>6498939.9794471543</v>
      </c>
      <c r="F28" s="83">
        <f>E28+SUM(E24:E27)</f>
        <v>6779660.9594543697</v>
      </c>
      <c r="G28" s="83">
        <f>F28+SUM(F24:F27)-C25</f>
        <v>7198600.4742032681</v>
      </c>
      <c r="H28" s="83">
        <f>G28+SUM(G24:G27)-D25</f>
        <v>7320760.0175618716</v>
      </c>
      <c r="I28" s="38"/>
      <c r="J28" s="38"/>
    </row>
    <row r="29" spans="2:13" ht="18" customHeight="1">
      <c r="B29" s="84" t="s">
        <v>178</v>
      </c>
      <c r="C29" s="83">
        <f>E21</f>
        <v>28278108</v>
      </c>
      <c r="D29" s="83">
        <f>E21-D28+F21</f>
        <v>23299241.203539919</v>
      </c>
      <c r="E29" s="83">
        <f>D29-E28+G21</f>
        <v>17839362.950847335</v>
      </c>
      <c r="F29" s="83">
        <f>E29-F28+H21</f>
        <v>22246228.535639659</v>
      </c>
      <c r="G29" s="83">
        <f>F29-G28+I21</f>
        <v>16782406.744198047</v>
      </c>
      <c r="H29" s="83">
        <f>G29-H28+J21</f>
        <v>16901893.645496637</v>
      </c>
    </row>
    <row r="30" spans="2:13">
      <c r="J30" s="12"/>
      <c r="K30" s="8"/>
    </row>
    <row r="31" spans="2:13" ht="15" customHeight="1">
      <c r="B31" s="178" t="s">
        <v>179</v>
      </c>
      <c r="C31" s="7">
        <v>2020</v>
      </c>
      <c r="D31" s="178">
        <v>2021</v>
      </c>
      <c r="E31" s="178"/>
      <c r="F31" s="178">
        <v>2022</v>
      </c>
      <c r="G31" s="178"/>
      <c r="H31" s="178">
        <v>2023</v>
      </c>
      <c r="I31" s="178"/>
      <c r="J31" s="178">
        <v>2024</v>
      </c>
      <c r="K31" s="178"/>
      <c r="L31" s="178">
        <v>2025</v>
      </c>
      <c r="M31" s="178"/>
    </row>
    <row r="32" spans="2:13" ht="15" customHeight="1">
      <c r="B32" s="178"/>
      <c r="C32" s="7" t="s">
        <v>176</v>
      </c>
      <c r="D32" s="7" t="s">
        <v>175</v>
      </c>
      <c r="E32" s="7" t="s">
        <v>176</v>
      </c>
      <c r="F32" s="7" t="s">
        <v>175</v>
      </c>
      <c r="G32" s="7" t="s">
        <v>176</v>
      </c>
      <c r="H32" s="7" t="s">
        <v>175</v>
      </c>
      <c r="I32" s="7" t="s">
        <v>176</v>
      </c>
      <c r="J32" s="7" t="s">
        <v>175</v>
      </c>
      <c r="K32" s="7" t="s">
        <v>176</v>
      </c>
      <c r="L32" s="7" t="s">
        <v>175</v>
      </c>
      <c r="M32" s="7" t="s">
        <v>176</v>
      </c>
    </row>
    <row r="33" spans="2:14">
      <c r="B33" s="11" t="s">
        <v>35</v>
      </c>
      <c r="L33" s="12"/>
    </row>
    <row r="34" spans="2:14">
      <c r="B34" s="17" t="s">
        <v>36</v>
      </c>
      <c r="C34" s="19">
        <v>5693202</v>
      </c>
      <c r="D34" s="19"/>
      <c r="E34" s="19">
        <f>C34*(1+Datos!E$4)</f>
        <v>5923924.5692829462</v>
      </c>
      <c r="F34" s="19"/>
      <c r="G34" s="19">
        <f>E34*(1+Datos!F$4)</f>
        <v>6163997.3959389003</v>
      </c>
      <c r="H34" s="19">
        <v>1</v>
      </c>
      <c r="I34" s="19">
        <f>G34*(1+Datos!G$4)</f>
        <v>6413799.4082764937</v>
      </c>
      <c r="J34" s="19"/>
      <c r="K34" s="19">
        <f>I34*(1+Datos!H$4)</f>
        <v>6673724.8910440104</v>
      </c>
      <c r="L34" s="19"/>
      <c r="M34" s="19">
        <f>K34*(1+Datos!I$4)</f>
        <v>6944184.107764096</v>
      </c>
      <c r="N34" s="12"/>
    </row>
    <row r="35" spans="2:14">
      <c r="B35" s="17" t="s">
        <v>37</v>
      </c>
      <c r="C35" s="19">
        <v>1734390</v>
      </c>
      <c r="D35" s="19"/>
      <c r="E35" s="19">
        <f>C35*(1+Datos!E$4)</f>
        <v>1804677.8480227205</v>
      </c>
      <c r="F35" s="19"/>
      <c r="G35" s="19">
        <f>E35*(1+Datos!F$4)</f>
        <v>1877814.179708092</v>
      </c>
      <c r="H35" s="19">
        <v>1</v>
      </c>
      <c r="I35" s="19">
        <f>G35*(1+Datos!G$4)</f>
        <v>1953914.4326374978</v>
      </c>
      <c r="J35" s="19"/>
      <c r="K35" s="19">
        <f>I35*(1+Datos!H$4)</f>
        <v>2033098.7226130078</v>
      </c>
      <c r="L35" s="19"/>
      <c r="M35" s="19">
        <f>K35*(1+Datos!I$4)</f>
        <v>2115492.033246839</v>
      </c>
      <c r="N35" s="12"/>
    </row>
    <row r="36" spans="2:14">
      <c r="B36" s="17" t="s">
        <v>44</v>
      </c>
      <c r="C36" s="19">
        <v>699900</v>
      </c>
      <c r="D36" s="19">
        <v>1</v>
      </c>
      <c r="E36" s="19">
        <f>C36*(1+Datos!E$4)</f>
        <v>728264.13080743211</v>
      </c>
      <c r="F36" s="19">
        <v>1</v>
      </c>
      <c r="G36" s="19">
        <f>E36*(1+Datos!F$4)</f>
        <v>757777.74570753623</v>
      </c>
      <c r="H36" s="19"/>
      <c r="I36" s="19">
        <f>G36*(1+Datos!G$4)</f>
        <v>788487.42866540106</v>
      </c>
      <c r="J36" s="19">
        <v>1</v>
      </c>
      <c r="K36" s="19">
        <f>I36*(1+Datos!H$4)</f>
        <v>820441.65150678018</v>
      </c>
      <c r="L36" s="19">
        <v>1</v>
      </c>
      <c r="M36" s="19">
        <f>K36*(1+Datos!I$4)</f>
        <v>853690.85042548843</v>
      </c>
      <c r="N36" s="12"/>
    </row>
    <row r="37" spans="2:14">
      <c r="B37" s="17" t="s">
        <v>38</v>
      </c>
      <c r="C37" s="19">
        <v>552416</v>
      </c>
      <c r="D37" s="19"/>
      <c r="E37" s="19">
        <f>C37*(1+Datos!E$4)</f>
        <v>574803.19771984348</v>
      </c>
      <c r="F37" s="19"/>
      <c r="G37" s="19">
        <f>E37*(1+Datos!F$4)</f>
        <v>598097.65848374669</v>
      </c>
      <c r="H37" s="19">
        <v>1</v>
      </c>
      <c r="I37" s="19">
        <f>G37*(1+Datos!G$4)</f>
        <v>622336.1500123248</v>
      </c>
      <c r="J37" s="19"/>
      <c r="K37" s="19">
        <f>I37*(1+Datos!H$4)</f>
        <v>647556.93007396685</v>
      </c>
      <c r="L37" s="19"/>
      <c r="M37" s="19">
        <f>K37*(1+Datos!I$4)</f>
        <v>673799.80687047658</v>
      </c>
      <c r="N37" s="12"/>
    </row>
    <row r="38" spans="2:14">
      <c r="B38" s="17" t="s">
        <v>39</v>
      </c>
      <c r="C38" s="19">
        <v>651900</v>
      </c>
      <c r="D38" s="19"/>
      <c r="E38" s="19">
        <f>C38*(1+Datos!E$4)</f>
        <v>678318.88394537079</v>
      </c>
      <c r="F38" s="19"/>
      <c r="G38" s="19">
        <f>E38*(1+Datos!F$4)</f>
        <v>705808.41895519767</v>
      </c>
      <c r="H38" s="19">
        <v>1</v>
      </c>
      <c r="I38" s="19">
        <f>G38*(1+Datos!G$4)</f>
        <v>734411.99420913693</v>
      </c>
      <c r="J38" s="19"/>
      <c r="K38" s="19">
        <f>I38*(1+Datos!H$4)</f>
        <v>764174.75727571081</v>
      </c>
      <c r="L38" s="19"/>
      <c r="M38" s="19">
        <f>K38*(1+Datos!I$4)</f>
        <v>795143.68537273316</v>
      </c>
      <c r="N38" s="12"/>
    </row>
    <row r="39" spans="2:14">
      <c r="B39" s="17" t="s">
        <v>40</v>
      </c>
      <c r="C39" s="19">
        <v>749900</v>
      </c>
      <c r="D39" s="19"/>
      <c r="E39" s="19">
        <f>C39*(1+Datos!E$4)</f>
        <v>780290.42962207936</v>
      </c>
      <c r="F39" s="19"/>
      <c r="G39" s="19">
        <f>E39*(1+Datos!F$4)</f>
        <v>811912.46107455553</v>
      </c>
      <c r="H39" s="19">
        <v>1</v>
      </c>
      <c r="I39" s="19">
        <f>G39*(1+Datos!G$4)</f>
        <v>844816.00622400944</v>
      </c>
      <c r="J39" s="19"/>
      <c r="K39" s="19">
        <f>I39*(1+Datos!H$4)</f>
        <v>879052.99966414401</v>
      </c>
      <c r="L39" s="19"/>
      <c r="M39" s="19">
        <f>K39*(1+Datos!I$4)</f>
        <v>914677.48068877519</v>
      </c>
      <c r="N39" s="12"/>
    </row>
    <row r="40" spans="2:14">
      <c r="B40" s="17" t="s">
        <v>41</v>
      </c>
      <c r="C40" s="19">
        <v>547900</v>
      </c>
      <c r="D40" s="19"/>
      <c r="E40" s="19">
        <f>C40*(1+Datos!E$4)</f>
        <v>570104.18241090444</v>
      </c>
      <c r="F40" s="19"/>
      <c r="G40" s="19">
        <f>E40*(1+Datos!F$4)</f>
        <v>593208.2109917975</v>
      </c>
      <c r="H40" s="19">
        <v>1</v>
      </c>
      <c r="I40" s="19">
        <f>G40*(1+Datos!G$4)</f>
        <v>617248.55288723134</v>
      </c>
      <c r="J40" s="19"/>
      <c r="K40" s="19">
        <f>I40*(1+Datos!H$4)</f>
        <v>642263.15310839377</v>
      </c>
      <c r="L40" s="19"/>
      <c r="M40" s="19">
        <f>K40*(1+Datos!I$4)</f>
        <v>668291.49442509655</v>
      </c>
      <c r="N40" s="12"/>
    </row>
    <row r="41" spans="2:14">
      <c r="B41" s="11" t="s">
        <v>32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12"/>
    </row>
    <row r="42" spans="2:14">
      <c r="B42" s="33" t="s">
        <v>42</v>
      </c>
      <c r="C42" s="19">
        <v>159900</v>
      </c>
      <c r="D42" s="19">
        <v>1</v>
      </c>
      <c r="E42" s="19">
        <f>C42*(1+Datos!E$4)</f>
        <v>166380.10360924189</v>
      </c>
      <c r="F42" s="19">
        <v>1</v>
      </c>
      <c r="G42" s="19">
        <f>E42*(1+Datos!F$4)</f>
        <v>173122.81974372774</v>
      </c>
      <c r="H42" s="19"/>
      <c r="I42" s="19">
        <f>G42*(1+Datos!G$4)</f>
        <v>180138.79103242981</v>
      </c>
      <c r="J42" s="19"/>
      <c r="K42" s="19">
        <f>I42*(1+Datos!H$4)</f>
        <v>187439.0914072498</v>
      </c>
      <c r="L42" s="19"/>
      <c r="M42" s="19">
        <f>K42*(1+Datos!I$4)</f>
        <v>195035.24358199112</v>
      </c>
      <c r="N42" s="12"/>
    </row>
    <row r="43" spans="2:14">
      <c r="B43" s="17" t="s">
        <v>43</v>
      </c>
      <c r="C43" s="19">
        <v>99900</v>
      </c>
      <c r="D43" s="19">
        <v>1</v>
      </c>
      <c r="E43" s="19">
        <f>C43*(1+Datos!E$4)</f>
        <v>103948.54503166518</v>
      </c>
      <c r="F43" s="19">
        <v>1</v>
      </c>
      <c r="G43" s="19">
        <f>E43*(1+Datos!F$4)</f>
        <v>108161.16130330456</v>
      </c>
      <c r="H43" s="19"/>
      <c r="I43" s="19">
        <f>G43*(1+Datos!G$4)</f>
        <v>112544.49796209966</v>
      </c>
      <c r="J43" s="19"/>
      <c r="K43" s="19">
        <f>I43*(1+Datos!H$4)</f>
        <v>117105.47361841309</v>
      </c>
      <c r="L43" s="19"/>
      <c r="M43" s="19">
        <f>K43*(1+Datos!I$4)</f>
        <v>121851.28726604697</v>
      </c>
      <c r="N43" s="12"/>
    </row>
    <row r="44" spans="2:14">
      <c r="B44" s="17" t="s">
        <v>46</v>
      </c>
      <c r="C44" s="19">
        <v>780000</v>
      </c>
      <c r="D44" s="19"/>
      <c r="E44" s="19">
        <f>C44*(1+Datos!E$4)</f>
        <v>811610.26150849694</v>
      </c>
      <c r="F44" s="19"/>
      <c r="G44" s="19">
        <f>E44*(1+Datos!F$4)</f>
        <v>844501.55972550111</v>
      </c>
      <c r="H44" s="19"/>
      <c r="I44" s="19">
        <f>G44*(1+Datos!G$4)</f>
        <v>878725.80991429172</v>
      </c>
      <c r="J44" s="19">
        <v>1</v>
      </c>
      <c r="K44" s="19">
        <f>I44*(1+Datos!H$4)</f>
        <v>914337.0312548771</v>
      </c>
      <c r="L44" s="19"/>
      <c r="M44" s="19">
        <f>K44*(1+Datos!I$4)</f>
        <v>951391.43210727384</v>
      </c>
      <c r="N44" s="12"/>
    </row>
    <row r="45" spans="2:14">
      <c r="B45" s="17" t="s">
        <v>45</v>
      </c>
      <c r="C45" s="19">
        <v>219900</v>
      </c>
      <c r="D45" s="19">
        <v>1</v>
      </c>
      <c r="E45" s="19">
        <f>C45*(1+Datos!E$4)</f>
        <v>228811.66218681858</v>
      </c>
      <c r="F45" s="19"/>
      <c r="G45" s="19">
        <f>E45*(1+Datos!F$4)</f>
        <v>238084.47818415088</v>
      </c>
      <c r="H45" s="19"/>
      <c r="I45" s="19">
        <f>G45*(1+Datos!G$4)</f>
        <v>247733.08410275992</v>
      </c>
      <c r="J45" s="19"/>
      <c r="K45" s="19">
        <f>I45*(1+Datos!H$4)</f>
        <v>257772.70919608648</v>
      </c>
      <c r="L45" s="19"/>
      <c r="M45" s="19">
        <f>K45*(1+Datos!I$4)</f>
        <v>268219.19989793526</v>
      </c>
      <c r="N45" s="12"/>
    </row>
    <row r="46" spans="2:14" ht="15" customHeight="1">
      <c r="B46" s="11" t="s">
        <v>67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12"/>
    </row>
    <row r="47" spans="2:14">
      <c r="B47" s="17" t="s">
        <v>68</v>
      </c>
      <c r="C47" s="19">
        <v>5400000</v>
      </c>
      <c r="D47" s="19"/>
      <c r="E47" s="19">
        <f>C47*(1+Datos!E$4)</f>
        <v>5618840.2719819024</v>
      </c>
      <c r="F47" s="19"/>
      <c r="G47" s="19">
        <f>E47*(1+Datos!F$4)</f>
        <v>5846549.259638085</v>
      </c>
      <c r="H47" s="19"/>
      <c r="I47" s="19">
        <f>G47*(1+Datos!G$4)</f>
        <v>6083486.3763297126</v>
      </c>
      <c r="J47" s="19"/>
      <c r="K47" s="19">
        <f>I47*(1+Datos!H$4)</f>
        <v>6330025.6009953031</v>
      </c>
      <c r="L47" s="19">
        <v>1</v>
      </c>
      <c r="M47" s="19">
        <f>K47*(1+Datos!I$4)</f>
        <v>6586556.0684349732</v>
      </c>
      <c r="N47" s="12"/>
    </row>
    <row r="48" spans="2:14">
      <c r="D48" s="30"/>
      <c r="J48" s="12"/>
      <c r="K48" s="8"/>
    </row>
  </sheetData>
  <mergeCells count="6">
    <mergeCell ref="J31:K31"/>
    <mergeCell ref="L31:M31"/>
    <mergeCell ref="B31:B32"/>
    <mergeCell ref="D31:E31"/>
    <mergeCell ref="F31:G31"/>
    <mergeCell ref="H31:I31"/>
  </mergeCells>
  <pageMargins left="0.7" right="0.7" top="0.75" bottom="0.75" header="0.3" footer="0.3"/>
  <pageSetup orientation="portrait" r:id="rId1"/>
  <ignoredErrors>
    <ignoredError sqref="E6 F14:J18 E19:F19 F20:J20 G19:J1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4884-5AF2-4FA5-88F6-EC09770768D5}">
  <dimension ref="B2:P86"/>
  <sheetViews>
    <sheetView showGridLines="0" zoomScale="70" zoomScaleNormal="70" workbookViewId="0">
      <selection activeCell="B1" sqref="B1"/>
    </sheetView>
  </sheetViews>
  <sheetFormatPr baseColWidth="10" defaultRowHeight="15"/>
  <cols>
    <col min="1" max="1" width="2.7109375" customWidth="1"/>
    <col min="2" max="2" width="29.85546875" bestFit="1" customWidth="1"/>
    <col min="3" max="7" width="20.7109375" customWidth="1"/>
    <col min="9" max="9" width="12.85546875" bestFit="1" customWidth="1"/>
    <col min="10" max="11" width="13.140625" bestFit="1" customWidth="1"/>
    <col min="12" max="13" width="12.85546875" bestFit="1" customWidth="1"/>
  </cols>
  <sheetData>
    <row r="2" spans="2:16" ht="20.100000000000001" customHeight="1">
      <c r="B2" s="10" t="s">
        <v>112</v>
      </c>
      <c r="C2" s="7">
        <v>2021</v>
      </c>
      <c r="D2" s="7">
        <v>2022</v>
      </c>
      <c r="E2" s="7">
        <v>2023</v>
      </c>
      <c r="F2" s="7">
        <v>2024</v>
      </c>
      <c r="G2" s="7">
        <v>2025</v>
      </c>
    </row>
    <row r="3" spans="2:16" s="39" customFormat="1" ht="18" customHeight="1">
      <c r="B3" s="94" t="s">
        <v>198</v>
      </c>
      <c r="C3" s="40">
        <f>((1.5*C4)+C5)</f>
        <v>18257092.573521037</v>
      </c>
      <c r="D3" s="40">
        <f>((1.5*D4)+D5)</f>
        <v>18994919.318307687</v>
      </c>
      <c r="E3" s="40">
        <f t="shared" ref="E3:G3" si="0">((1.5*E4)+E5)</f>
        <v>19732746.063094329</v>
      </c>
      <c r="F3" s="40">
        <f t="shared" si="0"/>
        <v>20470572.807880983</v>
      </c>
      <c r="G3" s="40">
        <f t="shared" si="0"/>
        <v>21208399.552667622</v>
      </c>
      <c r="H3" s="40"/>
    </row>
    <row r="4" spans="2:16">
      <c r="B4" s="17" t="s">
        <v>12</v>
      </c>
      <c r="C4" s="31">
        <f>Datos!E$6*12</f>
        <v>11287464.204971163</v>
      </c>
      <c r="D4" s="31">
        <f>Datos!F$6*12</f>
        <v>11743417.439353995</v>
      </c>
      <c r="E4" s="31">
        <f>Datos!G$6*12</f>
        <v>12199370.673736824</v>
      </c>
      <c r="F4" s="31">
        <f>Datos!H$6*12</f>
        <v>12655323.908119658</v>
      </c>
      <c r="G4" s="31">
        <f>Datos!I$6*12</f>
        <v>13111277.142502483</v>
      </c>
      <c r="H4" s="27"/>
    </row>
    <row r="5" spans="2:16">
      <c r="B5" s="17" t="s">
        <v>13</v>
      </c>
      <c r="C5" s="31">
        <f>Datos!E$7*12</f>
        <v>1325896.2660642923</v>
      </c>
      <c r="D5" s="31">
        <f>Datos!F$7*12</f>
        <v>1379793.1592766936</v>
      </c>
      <c r="E5" s="31">
        <f>Datos!G$7*12</f>
        <v>1433690.0524890956</v>
      </c>
      <c r="F5" s="31">
        <f>Datos!H$7*12</f>
        <v>1487586.9457014967</v>
      </c>
      <c r="G5" s="31">
        <f>Datos!I$7*12</f>
        <v>1541483.8389138978</v>
      </c>
      <c r="H5" s="27"/>
    </row>
    <row r="6" spans="2:16" s="39" customFormat="1" ht="18" customHeight="1">
      <c r="B6" s="62" t="s">
        <v>168</v>
      </c>
      <c r="C6" s="37">
        <f>SUM(C7:C9)</f>
        <v>2372624.9758849386</v>
      </c>
      <c r="D6" s="37">
        <f t="shared" ref="D6:G6" si="1">SUM(D7:D9)</f>
        <v>2468466.3457522099</v>
      </c>
      <c r="E6" s="37">
        <f t="shared" si="1"/>
        <v>2564307.7156194802</v>
      </c>
      <c r="F6" s="37">
        <f t="shared" si="1"/>
        <v>2660149.085486752</v>
      </c>
      <c r="G6" s="37">
        <f t="shared" si="1"/>
        <v>2755990.4553540219</v>
      </c>
      <c r="H6" s="40"/>
    </row>
    <row r="7" spans="2:16">
      <c r="B7" s="17" t="s">
        <v>14</v>
      </c>
      <c r="C7" s="31">
        <f>Datos!E$9*C$4</f>
        <v>1354495.7045965395</v>
      </c>
      <c r="D7" s="31">
        <f>Datos!F$9*D$4</f>
        <v>1409210.0927224793</v>
      </c>
      <c r="E7" s="31">
        <f>Datos!G$9*E$4</f>
        <v>1463924.4808484188</v>
      </c>
      <c r="F7" s="31">
        <f>Datos!H$9*F$4</f>
        <v>1518638.868974359</v>
      </c>
      <c r="G7" s="31">
        <f>Datos!I$9*G$4</f>
        <v>1573353.2571002978</v>
      </c>
    </row>
    <row r="8" spans="2:16">
      <c r="B8" s="17" t="s">
        <v>15</v>
      </c>
      <c r="C8" s="31">
        <f>Datos!E$10*C$4</f>
        <v>959434.45742254891</v>
      </c>
      <c r="D8" s="31">
        <f>Datos!F$10*D$4</f>
        <v>998190.48234508967</v>
      </c>
      <c r="E8" s="31">
        <f>Datos!G$10*E$4</f>
        <v>1036946.5072676301</v>
      </c>
      <c r="F8" s="31">
        <f>Datos!H$10*F$4</f>
        <v>1075702.5321901711</v>
      </c>
      <c r="G8" s="31">
        <f>Datos!I$10*G$4</f>
        <v>1114458.5571127112</v>
      </c>
    </row>
    <row r="9" spans="2:16">
      <c r="B9" s="17" t="s">
        <v>20</v>
      </c>
      <c r="C9" s="31">
        <f>Datos!E$11*C$4</f>
        <v>58694.813865850039</v>
      </c>
      <c r="D9" s="31">
        <f>Datos!F$11*D$4</f>
        <v>61065.770684640775</v>
      </c>
      <c r="E9" s="31">
        <f>Datos!G$11*E$4</f>
        <v>63436.727503431481</v>
      </c>
      <c r="F9" s="31">
        <f>Datos!H$11*F$4</f>
        <v>65807.684322222223</v>
      </c>
      <c r="G9" s="31">
        <f>Datos!I$11*G$4</f>
        <v>68178.641141012908</v>
      </c>
    </row>
    <row r="10" spans="2:16" s="39" customFormat="1" ht="18" customHeight="1">
      <c r="B10" s="62" t="s">
        <v>156</v>
      </c>
      <c r="C10" s="37">
        <f>SUM(C11:C14)</f>
        <v>3694889.8058311124</v>
      </c>
      <c r="D10" s="37">
        <f t="shared" ref="D10:G10" si="2">SUM(D11:D14)</f>
        <v>3844203.2588341995</v>
      </c>
      <c r="E10" s="37">
        <f t="shared" si="2"/>
        <v>3993516.7118372843</v>
      </c>
      <c r="F10" s="37">
        <f t="shared" si="2"/>
        <v>4142830.1648403718</v>
      </c>
      <c r="G10" s="37">
        <f t="shared" si="2"/>
        <v>4292143.6178434556</v>
      </c>
    </row>
    <row r="11" spans="2:16">
      <c r="B11" s="17" t="s">
        <v>22</v>
      </c>
      <c r="C11" s="31">
        <f>Datos!E$13*C$3</f>
        <v>1520815.8113743023</v>
      </c>
      <c r="D11" s="31">
        <f>Datos!F$13*D$3</f>
        <v>1582276.7792150304</v>
      </c>
      <c r="E11" s="31">
        <f>Datos!G$13*E$3</f>
        <v>1643737.7470557576</v>
      </c>
      <c r="F11" s="31">
        <f>Datos!H$13*F$3</f>
        <v>1705198.7148964859</v>
      </c>
      <c r="G11" s="31">
        <f>Datos!I$13*G$3</f>
        <v>1766659.6827372129</v>
      </c>
      <c r="I11" s="27"/>
      <c r="J11" s="27"/>
      <c r="K11" s="27"/>
      <c r="L11" s="27"/>
      <c r="M11" s="27"/>
      <c r="N11" s="27"/>
      <c r="O11" s="27"/>
      <c r="P11" s="27"/>
    </row>
    <row r="12" spans="2:16">
      <c r="B12" s="17" t="s">
        <v>16</v>
      </c>
      <c r="C12" s="31">
        <f>Datos!E$14*C$3</f>
        <v>1520815.8113743023</v>
      </c>
      <c r="D12" s="31">
        <f>Datos!F$14*D$3</f>
        <v>1582276.7792150304</v>
      </c>
      <c r="E12" s="31">
        <f>Datos!G$14*E$3</f>
        <v>1643737.7470557576</v>
      </c>
      <c r="F12" s="31">
        <f>Datos!H$14*F$3</f>
        <v>1705198.7148964859</v>
      </c>
      <c r="G12" s="31">
        <f>Datos!I$14*G$3</f>
        <v>1766659.6827372129</v>
      </c>
    </row>
    <row r="13" spans="2:16">
      <c r="B13" s="17" t="s">
        <v>17</v>
      </c>
      <c r="C13" s="31">
        <f>Datos!E$16*C$4</f>
        <v>470687.25734729751</v>
      </c>
      <c r="D13" s="31">
        <f>Datos!F$16*D$4</f>
        <v>489700.50722106162</v>
      </c>
      <c r="E13" s="31">
        <f>Datos!G$16*E$4</f>
        <v>508713.75709482556</v>
      </c>
      <c r="F13" s="31">
        <f>Datos!H$16*F$4</f>
        <v>527727.00696858973</v>
      </c>
      <c r="G13" s="31">
        <f>Datos!I$16*G$4</f>
        <v>546740.2568423535</v>
      </c>
    </row>
    <row r="14" spans="2:16">
      <c r="B14" s="17" t="s">
        <v>19</v>
      </c>
      <c r="C14" s="31">
        <f>Datos!E$18*C$3</f>
        <v>182570.92573521036</v>
      </c>
      <c r="D14" s="31">
        <f>Datos!F$18*D$3</f>
        <v>189949.19318307686</v>
      </c>
      <c r="E14" s="31">
        <f>Datos!G$18*E$3</f>
        <v>197327.4606309433</v>
      </c>
      <c r="F14" s="31">
        <f>Datos!H$18*F$3</f>
        <v>204705.72807880983</v>
      </c>
      <c r="G14" s="31">
        <f>Datos!I$18*G$3</f>
        <v>212083.99552667621</v>
      </c>
    </row>
    <row r="15" spans="2:16" s="39" customFormat="1" ht="18" customHeight="1">
      <c r="B15" s="62" t="s">
        <v>197</v>
      </c>
      <c r="C15" s="37">
        <f>C16</f>
        <v>1015871.7784474046</v>
      </c>
      <c r="D15" s="37">
        <f t="shared" ref="D15:G15" si="3">D16</f>
        <v>1056907.5695418594</v>
      </c>
      <c r="E15" s="37">
        <f t="shared" si="3"/>
        <v>1097943.3606363141</v>
      </c>
      <c r="F15" s="37">
        <f t="shared" si="3"/>
        <v>1138979.1517307691</v>
      </c>
      <c r="G15" s="37">
        <f t="shared" si="3"/>
        <v>1180014.9428252233</v>
      </c>
    </row>
    <row r="16" spans="2:16">
      <c r="B16" s="72" t="s">
        <v>18</v>
      </c>
      <c r="C16" s="31">
        <f>Datos!E$17*C$4</f>
        <v>1015871.7784474046</v>
      </c>
      <c r="D16" s="31">
        <f>Datos!F$17*D$4</f>
        <v>1056907.5695418594</v>
      </c>
      <c r="E16" s="31">
        <f>Datos!G$17*E$4</f>
        <v>1097943.3606363141</v>
      </c>
      <c r="F16" s="31">
        <f>Datos!H$17*F$4</f>
        <v>1138979.1517307691</v>
      </c>
      <c r="G16" s="31">
        <f>Datos!I$17*G$4</f>
        <v>1180014.9428252233</v>
      </c>
    </row>
    <row r="17" spans="2:7" ht="18" customHeight="1">
      <c r="B17" s="95" t="s">
        <v>71</v>
      </c>
      <c r="C17" s="88">
        <f>C3+C6+C10+C15</f>
        <v>25340479.133684494</v>
      </c>
      <c r="D17" s="88">
        <f>D3+D6+D10+D15</f>
        <v>26364496.492435955</v>
      </c>
      <c r="E17" s="88">
        <f>E3+E6+E10+E15</f>
        <v>27388513.851187404</v>
      </c>
      <c r="F17" s="88">
        <f>F3+F6+F10+F15</f>
        <v>28412531.209938873</v>
      </c>
      <c r="G17" s="88">
        <f>G3+G6+G10+G15</f>
        <v>29436548.568690326</v>
      </c>
    </row>
    <row r="19" spans="2:7">
      <c r="B19" s="10" t="s">
        <v>72</v>
      </c>
      <c r="C19" s="7">
        <v>2021</v>
      </c>
      <c r="D19" s="7">
        <v>2022</v>
      </c>
      <c r="E19" s="7">
        <v>2023</v>
      </c>
      <c r="F19" s="7">
        <v>2024</v>
      </c>
      <c r="G19" s="7">
        <v>2025</v>
      </c>
    </row>
    <row r="20" spans="2:7">
      <c r="B20" s="94" t="s">
        <v>198</v>
      </c>
      <c r="C20" s="40">
        <f>((1.5*C21)+C22)</f>
        <v>18257092.573521037</v>
      </c>
      <c r="D20" s="40">
        <f>((1.5*D21)+D22)</f>
        <v>18994919.318307687</v>
      </c>
      <c r="E20" s="40">
        <f t="shared" ref="E20:G20" si="4">((1.5*E21)+E22)</f>
        <v>19732746.063094329</v>
      </c>
      <c r="F20" s="40">
        <f t="shared" si="4"/>
        <v>20470572.807880983</v>
      </c>
      <c r="G20" s="40">
        <f t="shared" si="4"/>
        <v>21208399.552667622</v>
      </c>
    </row>
    <row r="21" spans="2:7">
      <c r="B21" s="17" t="s">
        <v>12</v>
      </c>
      <c r="C21" s="31">
        <f>Datos!E$6*12</f>
        <v>11287464.204971163</v>
      </c>
      <c r="D21" s="31">
        <f>Datos!F$6*12</f>
        <v>11743417.439353995</v>
      </c>
      <c r="E21" s="31">
        <f>Datos!G$6*12</f>
        <v>12199370.673736824</v>
      </c>
      <c r="F21" s="31">
        <f>Datos!H$6*12</f>
        <v>12655323.908119658</v>
      </c>
      <c r="G21" s="31">
        <f>Datos!I$6*12</f>
        <v>13111277.142502483</v>
      </c>
    </row>
    <row r="22" spans="2:7">
      <c r="B22" s="17" t="s">
        <v>13</v>
      </c>
      <c r="C22" s="31">
        <f>Datos!E$7*12</f>
        <v>1325896.2660642923</v>
      </c>
      <c r="D22" s="31">
        <f>Datos!F$7*12</f>
        <v>1379793.1592766936</v>
      </c>
      <c r="E22" s="31">
        <f>Datos!G$7*12</f>
        <v>1433690.0524890956</v>
      </c>
      <c r="F22" s="31">
        <f>Datos!H$7*12</f>
        <v>1487586.9457014967</v>
      </c>
      <c r="G22" s="31">
        <f>Datos!I$7*12</f>
        <v>1541483.8389138978</v>
      </c>
    </row>
    <row r="23" spans="2:7">
      <c r="B23" s="62" t="s">
        <v>168</v>
      </c>
      <c r="C23" s="37">
        <f>SUM(C24:C26)</f>
        <v>2372624.9758849386</v>
      </c>
      <c r="D23" s="37">
        <f t="shared" ref="D23" si="5">SUM(D24:D26)</f>
        <v>2468466.3457522099</v>
      </c>
      <c r="E23" s="37">
        <f t="shared" ref="E23" si="6">SUM(E24:E26)</f>
        <v>2564307.7156194802</v>
      </c>
      <c r="F23" s="37">
        <f t="shared" ref="F23" si="7">SUM(F24:F26)</f>
        <v>2660149.085486752</v>
      </c>
      <c r="G23" s="37">
        <f t="shared" ref="G23" si="8">SUM(G24:G26)</f>
        <v>2755990.4553540219</v>
      </c>
    </row>
    <row r="24" spans="2:7">
      <c r="B24" s="17" t="s">
        <v>14</v>
      </c>
      <c r="C24" s="31">
        <f>Datos!E$9*C$21</f>
        <v>1354495.7045965395</v>
      </c>
      <c r="D24" s="31">
        <f>Datos!F$9*D$21</f>
        <v>1409210.0927224793</v>
      </c>
      <c r="E24" s="31">
        <f>Datos!G$9*E$21</f>
        <v>1463924.4808484188</v>
      </c>
      <c r="F24" s="31">
        <f>Datos!H$9*F$21</f>
        <v>1518638.868974359</v>
      </c>
      <c r="G24" s="31">
        <f>Datos!I$9*G$21</f>
        <v>1573353.2571002978</v>
      </c>
    </row>
    <row r="25" spans="2:7">
      <c r="B25" s="17" t="s">
        <v>15</v>
      </c>
      <c r="C25" s="31">
        <f>Datos!E$10*C$21</f>
        <v>959434.45742254891</v>
      </c>
      <c r="D25" s="31">
        <f>Datos!F$10*D$21</f>
        <v>998190.48234508967</v>
      </c>
      <c r="E25" s="31">
        <f>Datos!G$10*E$21</f>
        <v>1036946.5072676301</v>
      </c>
      <c r="F25" s="31">
        <f>Datos!H$10*F$21</f>
        <v>1075702.5321901711</v>
      </c>
      <c r="G25" s="31">
        <f>Datos!I$10*G$21</f>
        <v>1114458.5571127112</v>
      </c>
    </row>
    <row r="26" spans="2:7">
      <c r="B26" s="17" t="s">
        <v>20</v>
      </c>
      <c r="C26" s="31">
        <f>Datos!E$11*C$21</f>
        <v>58694.813865850039</v>
      </c>
      <c r="D26" s="31">
        <f>Datos!F$11*D$21</f>
        <v>61065.770684640775</v>
      </c>
      <c r="E26" s="31">
        <f>Datos!G$11*E$21</f>
        <v>63436.727503431481</v>
      </c>
      <c r="F26" s="31">
        <f>Datos!H$11*F$21</f>
        <v>65807.684322222223</v>
      </c>
      <c r="G26" s="31">
        <f>Datos!I$11*G$21</f>
        <v>68178.641141012908</v>
      </c>
    </row>
    <row r="27" spans="2:7">
      <c r="B27" s="62" t="s">
        <v>156</v>
      </c>
      <c r="C27" s="37">
        <f>SUM(C28:C31)</f>
        <v>3694889.8058311124</v>
      </c>
      <c r="D27" s="37">
        <f t="shared" ref="D27" si="9">SUM(D28:D31)</f>
        <v>3844203.2588341995</v>
      </c>
      <c r="E27" s="37">
        <f t="shared" ref="E27" si="10">SUM(E28:E31)</f>
        <v>3993516.7118372843</v>
      </c>
      <c r="F27" s="37">
        <f t="shared" ref="F27" si="11">SUM(F28:F31)</f>
        <v>4142830.1648403718</v>
      </c>
      <c r="G27" s="37">
        <f t="shared" ref="G27" si="12">SUM(G28:G31)</f>
        <v>4292143.6178434556</v>
      </c>
    </row>
    <row r="28" spans="2:7">
      <c r="B28" s="17" t="s">
        <v>22</v>
      </c>
      <c r="C28" s="31">
        <f>Datos!E$13*C$20</f>
        <v>1520815.8113743023</v>
      </c>
      <c r="D28" s="31">
        <f>Datos!F$13*D$20</f>
        <v>1582276.7792150304</v>
      </c>
      <c r="E28" s="31">
        <f>Datos!G$13*E$20</f>
        <v>1643737.7470557576</v>
      </c>
      <c r="F28" s="31">
        <f>Datos!H$13*F$20</f>
        <v>1705198.7148964859</v>
      </c>
      <c r="G28" s="31">
        <f>Datos!I$13*G$20</f>
        <v>1766659.6827372129</v>
      </c>
    </row>
    <row r="29" spans="2:7">
      <c r="B29" s="17" t="s">
        <v>16</v>
      </c>
      <c r="C29" s="31">
        <f>Datos!E$14*C$20</f>
        <v>1520815.8113743023</v>
      </c>
      <c r="D29" s="31">
        <f>Datos!F$14*D$20</f>
        <v>1582276.7792150304</v>
      </c>
      <c r="E29" s="31">
        <f>Datos!G$14*E$20</f>
        <v>1643737.7470557576</v>
      </c>
      <c r="F29" s="31">
        <f>Datos!H$14*F$20</f>
        <v>1705198.7148964859</v>
      </c>
      <c r="G29" s="31">
        <f>Datos!I$14*G$20</f>
        <v>1766659.6827372129</v>
      </c>
    </row>
    <row r="30" spans="2:7">
      <c r="B30" s="17" t="s">
        <v>17</v>
      </c>
      <c r="C30" s="31">
        <f>Datos!E$16*C$21</f>
        <v>470687.25734729751</v>
      </c>
      <c r="D30" s="31">
        <f>Datos!F$16*D$21</f>
        <v>489700.50722106162</v>
      </c>
      <c r="E30" s="31">
        <f>Datos!G$16*E$21</f>
        <v>508713.75709482556</v>
      </c>
      <c r="F30" s="31">
        <f>Datos!H$16*F$21</f>
        <v>527727.00696858973</v>
      </c>
      <c r="G30" s="31">
        <f>Datos!I$16*G$21</f>
        <v>546740.2568423535</v>
      </c>
    </row>
    <row r="31" spans="2:7">
      <c r="B31" s="17" t="s">
        <v>19</v>
      </c>
      <c r="C31" s="31">
        <f>Datos!E$18*C$20</f>
        <v>182570.92573521036</v>
      </c>
      <c r="D31" s="31">
        <f>Datos!F$18*D$20</f>
        <v>189949.19318307686</v>
      </c>
      <c r="E31" s="31">
        <f>Datos!G$18*E$20</f>
        <v>197327.4606309433</v>
      </c>
      <c r="F31" s="31">
        <f>Datos!H$18*F$20</f>
        <v>204705.72807880983</v>
      </c>
      <c r="G31" s="31">
        <f>Datos!I$18*G$20</f>
        <v>212083.99552667621</v>
      </c>
    </row>
    <row r="32" spans="2:7">
      <c r="B32" s="62" t="s">
        <v>197</v>
      </c>
      <c r="C32" s="37">
        <f>C33</f>
        <v>1015871.7784474046</v>
      </c>
      <c r="D32" s="37">
        <f t="shared" ref="D32" si="13">D33</f>
        <v>1056907.5695418594</v>
      </c>
      <c r="E32" s="37">
        <f t="shared" ref="E32" si="14">E33</f>
        <v>1097943.3606363141</v>
      </c>
      <c r="F32" s="37">
        <f t="shared" ref="F32" si="15">F33</f>
        <v>1138979.1517307691</v>
      </c>
      <c r="G32" s="37">
        <f t="shared" ref="G32" si="16">G33</f>
        <v>1180014.9428252233</v>
      </c>
    </row>
    <row r="33" spans="2:7">
      <c r="B33" s="72" t="s">
        <v>18</v>
      </c>
      <c r="C33" s="31">
        <f>Datos!E$17*C$21</f>
        <v>1015871.7784474046</v>
      </c>
      <c r="D33" s="31">
        <f>Datos!F$17*D$21</f>
        <v>1056907.5695418594</v>
      </c>
      <c r="E33" s="31">
        <f>Datos!G$17*E$21</f>
        <v>1097943.3606363141</v>
      </c>
      <c r="F33" s="31">
        <f>Datos!H$17*F$21</f>
        <v>1138979.1517307691</v>
      </c>
      <c r="G33" s="31">
        <f>Datos!I$17*G$21</f>
        <v>1180014.9428252233</v>
      </c>
    </row>
    <row r="34" spans="2:7">
      <c r="B34" s="95" t="s">
        <v>71</v>
      </c>
      <c r="C34" s="88">
        <f>C20+C23+C27+C32</f>
        <v>25340479.133684494</v>
      </c>
      <c r="D34" s="88">
        <f>D20+D23+D27+D32</f>
        <v>26364496.492435955</v>
      </c>
      <c r="E34" s="88">
        <f>E20+E23+E27+E32</f>
        <v>27388513.851187404</v>
      </c>
      <c r="F34" s="88">
        <f>F20+F23+F27+F32</f>
        <v>28412531.209938873</v>
      </c>
      <c r="G34" s="88">
        <f>G20+G23+G27+G32</f>
        <v>29436548.568690326</v>
      </c>
    </row>
    <row r="35" spans="2:7">
      <c r="B35" s="96"/>
      <c r="C35" s="96"/>
      <c r="D35" s="96"/>
      <c r="E35" s="96"/>
      <c r="F35" s="96"/>
      <c r="G35" s="96"/>
    </row>
    <row r="36" spans="2:7">
      <c r="B36" s="10" t="s">
        <v>199</v>
      </c>
      <c r="C36" s="7">
        <v>2021</v>
      </c>
      <c r="D36" s="7">
        <v>2022</v>
      </c>
      <c r="E36" s="7">
        <v>2023</v>
      </c>
      <c r="F36" s="7">
        <v>2024</v>
      </c>
      <c r="G36" s="7">
        <v>2025</v>
      </c>
    </row>
    <row r="37" spans="2:7">
      <c r="B37" s="94" t="s">
        <v>198</v>
      </c>
      <c r="C37" s="40">
        <f>((1*C38)+C39)</f>
        <v>12613360.471035454</v>
      </c>
      <c r="D37" s="40">
        <f>((1*D38)+D39)</f>
        <v>13123210.598630689</v>
      </c>
      <c r="E37" s="40">
        <f>((1*E38)+E39)</f>
        <v>13633060.72622592</v>
      </c>
      <c r="F37" s="40">
        <f>((1*F38)+F39)</f>
        <v>14142910.853821155</v>
      </c>
      <c r="G37" s="40">
        <f>((1*G38)+G39)</f>
        <v>14652760.98141638</v>
      </c>
    </row>
    <row r="38" spans="2:7">
      <c r="B38" s="17" t="s">
        <v>12</v>
      </c>
      <c r="C38" s="31">
        <f>Datos!E$6*12</f>
        <v>11287464.204971163</v>
      </c>
      <c r="D38" s="31">
        <f>Datos!F$6*12</f>
        <v>11743417.439353995</v>
      </c>
      <c r="E38" s="31">
        <f>Datos!G$6*12</f>
        <v>12199370.673736824</v>
      </c>
      <c r="F38" s="31">
        <f>Datos!H$6*12</f>
        <v>12655323.908119658</v>
      </c>
      <c r="G38" s="31">
        <f>Datos!I$6*12</f>
        <v>13111277.142502483</v>
      </c>
    </row>
    <row r="39" spans="2:7">
      <c r="B39" s="17" t="s">
        <v>13</v>
      </c>
      <c r="C39" s="31">
        <f>Datos!E$7*12</f>
        <v>1325896.2660642923</v>
      </c>
      <c r="D39" s="31">
        <f>Datos!F$7*12</f>
        <v>1379793.1592766936</v>
      </c>
      <c r="E39" s="31">
        <f>Datos!G$7*12</f>
        <v>1433690.0524890956</v>
      </c>
      <c r="F39" s="31">
        <f>Datos!H$7*12</f>
        <v>1487586.9457014967</v>
      </c>
      <c r="G39" s="31">
        <f>Datos!I$7*12</f>
        <v>1541483.8389138978</v>
      </c>
    </row>
    <row r="40" spans="2:7">
      <c r="B40" s="62" t="s">
        <v>168</v>
      </c>
      <c r="C40" s="37">
        <f>SUM(C41:C43)</f>
        <v>3438877.9569417266</v>
      </c>
      <c r="D40" s="37">
        <f t="shared" ref="D40" si="17">SUM(D41:D43)</f>
        <v>2645980.5736065102</v>
      </c>
      <c r="E40" s="37">
        <f t="shared" ref="E40" si="18">SUM(E41:E43)</f>
        <v>2778569.1873025019</v>
      </c>
      <c r="F40" s="37">
        <f t="shared" ref="F40" si="19">SUM(F41:F43)</f>
        <v>2918764.8528124811</v>
      </c>
      <c r="G40" s="37">
        <f t="shared" ref="G40" si="20">SUM(G41:G43)</f>
        <v>3068142.3069403921</v>
      </c>
    </row>
    <row r="41" spans="2:7">
      <c r="B41" s="17" t="s">
        <v>14</v>
      </c>
      <c r="C41" s="31">
        <f>Datos!E$9*(C$38+C51)</f>
        <v>1963203.4007279121</v>
      </c>
      <c r="D41" s="31">
        <f>Datos!F$9*(D$38+D51)</f>
        <v>1510550.2798895393</v>
      </c>
      <c r="E41" s="31">
        <f>Datos!G$9*(E$38+E51)</f>
        <v>1586243.1135884882</v>
      </c>
      <c r="F41" s="31">
        <f>Datos!H$9*(F$38+F51)</f>
        <v>1666278.6980851463</v>
      </c>
      <c r="G41" s="31">
        <f>Datos!I$9*(G$38+G51)</f>
        <v>1751556.0267975596</v>
      </c>
    </row>
    <row r="42" spans="2:7">
      <c r="B42" s="17" t="s">
        <v>15</v>
      </c>
      <c r="C42" s="31">
        <f>Datos!E$10*(C$38+C51)</f>
        <v>1390602.4088489381</v>
      </c>
      <c r="D42" s="31">
        <f>Datos!F$10*(D$38+D51)</f>
        <v>1069973.1149217573</v>
      </c>
      <c r="E42" s="31">
        <f>Datos!G$10*(E$38+E51)</f>
        <v>1123588.8721251793</v>
      </c>
      <c r="F42" s="31">
        <f>Datos!H$10*(F$38+F51)</f>
        <v>1180280.7444769787</v>
      </c>
      <c r="G42" s="31">
        <f>Datos!I$10*(G$38+G51)</f>
        <v>1240685.5189816048</v>
      </c>
    </row>
    <row r="43" spans="2:7">
      <c r="B43" s="17" t="s">
        <v>20</v>
      </c>
      <c r="C43" s="31">
        <f>Datos!E$11*(C$38+C51)</f>
        <v>85072.147364876189</v>
      </c>
      <c r="D43" s="31">
        <f>Datos!F$11*(D$38+D51)</f>
        <v>65457.178795213375</v>
      </c>
      <c r="E43" s="31">
        <f>Datos!G$11*(E$38+E51)</f>
        <v>68737.20158883449</v>
      </c>
      <c r="F43" s="31">
        <f>Datos!H$11*(F$38+F51)</f>
        <v>72205.410250356334</v>
      </c>
      <c r="G43" s="31">
        <f>Datos!I$11*(G$38+G51)</f>
        <v>75900.76116122758</v>
      </c>
    </row>
    <row r="44" spans="2:7">
      <c r="B44" s="62" t="s">
        <v>156</v>
      </c>
      <c r="C44" s="37">
        <f>SUM(C45:C48)</f>
        <v>3594021.5426721619</v>
      </c>
      <c r="D44" s="37">
        <f t="shared" ref="D44" si="21">SUM(D45:D48)</f>
        <v>2956398.4743867647</v>
      </c>
      <c r="E44" s="37">
        <f t="shared" ref="E44" si="22">SUM(E45:E48)</f>
        <v>3096324.535862125</v>
      </c>
      <c r="F44" s="37">
        <f t="shared" ref="F44" si="23">SUM(F45:F48)</f>
        <v>3242641.678928114</v>
      </c>
      <c r="G44" s="37">
        <f t="shared" ref="G44" si="24">SUM(G45:G48)</f>
        <v>3396672.922231623</v>
      </c>
    </row>
    <row r="45" spans="2:7">
      <c r="B45" s="17" t="s">
        <v>22</v>
      </c>
      <c r="C45" s="31">
        <f>Datos!E$13*(C$37+C51)</f>
        <v>1473237.5196351146</v>
      </c>
      <c r="D45" s="31">
        <f>Datos!F$13*(D$37+D51)</f>
        <v>1163510.4227910705</v>
      </c>
      <c r="E45" s="31">
        <f>Datos!G$13*(E$37+E51)</f>
        <v>1220543.4760550172</v>
      </c>
      <c r="F45" s="31">
        <f>Datos!H$13*(F$37+F51)</f>
        <v>1280591.1221643738</v>
      </c>
      <c r="G45" s="31">
        <f>Datos!I$13*(G$37+G51)</f>
        <v>1344277.4123835003</v>
      </c>
    </row>
    <row r="46" spans="2:7">
      <c r="B46" s="17" t="s">
        <v>16</v>
      </c>
      <c r="C46" s="31">
        <f>Datos!E$14*(C$37+C51)</f>
        <v>1473237.5196351146</v>
      </c>
      <c r="D46" s="31">
        <f>Datos!F$14*(D$37+D51)</f>
        <v>1163510.4227910705</v>
      </c>
      <c r="E46" s="31">
        <f>Datos!G$14*(E$37+E51)</f>
        <v>1220543.4760550172</v>
      </c>
      <c r="F46" s="31">
        <f>Datos!H$14*(F$37+F51)</f>
        <v>1280591.1221643738</v>
      </c>
      <c r="G46" s="31">
        <f>Datos!I$14*(G$37+G51)</f>
        <v>1344277.4123835003</v>
      </c>
    </row>
    <row r="47" spans="2:7">
      <c r="B47" s="17" t="s">
        <v>17</v>
      </c>
      <c r="C47" s="31">
        <f>Datos!E$16*C$38</f>
        <v>470687.25734729751</v>
      </c>
      <c r="D47" s="31">
        <f>Datos!F$16*D$38</f>
        <v>489700.50722106162</v>
      </c>
      <c r="E47" s="31">
        <f>Datos!G$16*E$38</f>
        <v>508713.75709482556</v>
      </c>
      <c r="F47" s="31">
        <f>Datos!H$16*F$38</f>
        <v>527727.00696858973</v>
      </c>
      <c r="G47" s="31">
        <f>Datos!I$16*G$38</f>
        <v>546740.2568423535</v>
      </c>
    </row>
    <row r="48" spans="2:7">
      <c r="B48" s="17" t="s">
        <v>19</v>
      </c>
      <c r="C48" s="31">
        <f>Datos!E$18*(C$37+C51)</f>
        <v>176859.24605463562</v>
      </c>
      <c r="D48" s="31">
        <f>Datos!F$18*(D$37+D51)</f>
        <v>139677.12158356191</v>
      </c>
      <c r="E48" s="31">
        <f>Datos!G$18*(E$37+E51)</f>
        <v>146523.82665726499</v>
      </c>
      <c r="F48" s="31">
        <f>Datos!H$18*(F$37+F51)</f>
        <v>153732.42763077715</v>
      </c>
      <c r="G48" s="31">
        <f>Datos!I$18*(G$37+G51)</f>
        <v>161377.84062226897</v>
      </c>
    </row>
    <row r="49" spans="2:8">
      <c r="B49" s="62" t="s">
        <v>197</v>
      </c>
      <c r="C49" s="37">
        <f>C50</f>
        <v>1015871.7784474046</v>
      </c>
      <c r="D49" s="37">
        <f t="shared" ref="D49" si="25">D50</f>
        <v>1056907.5695418594</v>
      </c>
      <c r="E49" s="37">
        <f t="shared" ref="E49" si="26">E50</f>
        <v>1097943.3606363141</v>
      </c>
      <c r="F49" s="37">
        <f t="shared" ref="F49" si="27">F50</f>
        <v>1138979.1517307691</v>
      </c>
      <c r="G49" s="37">
        <f t="shared" ref="G49" si="28">G50</f>
        <v>1180014.9428252233</v>
      </c>
    </row>
    <row r="50" spans="2:8">
      <c r="B50" s="72" t="s">
        <v>18</v>
      </c>
      <c r="C50" s="31">
        <f>Datos!E$17*C$38</f>
        <v>1015871.7784474046</v>
      </c>
      <c r="D50" s="31">
        <f>Datos!F$17*D$38</f>
        <v>1056907.5695418594</v>
      </c>
      <c r="E50" s="31">
        <f>Datos!G$17*E$38</f>
        <v>1097943.3606363141</v>
      </c>
      <c r="F50" s="31">
        <f>Datos!H$17*F$38</f>
        <v>1138979.1517307691</v>
      </c>
      <c r="G50" s="31">
        <f>Datos!I$17*G$38</f>
        <v>1180014.9428252233</v>
      </c>
    </row>
    <row r="51" spans="2:8">
      <c r="B51" s="62" t="s">
        <v>74</v>
      </c>
      <c r="C51" s="37">
        <f>Ventas!Q7*Ventas!Q6</f>
        <v>5072564.1344281062</v>
      </c>
      <c r="D51" s="37">
        <f>Ventas!R7*Ventas!R6</f>
        <v>844501.55972550064</v>
      </c>
      <c r="E51" s="37">
        <f>Ventas!S7*Ventas!S6</f>
        <v>1019321.9395005779</v>
      </c>
      <c r="F51" s="37">
        <f>Ventas!T7*Ventas!T6</f>
        <v>1230331.9092565612</v>
      </c>
      <c r="G51" s="37">
        <f>Ventas!U7*Ventas!U6</f>
        <v>1485023.0808105143</v>
      </c>
    </row>
    <row r="52" spans="2:8">
      <c r="B52" s="95" t="s">
        <v>71</v>
      </c>
      <c r="C52" s="88">
        <f>C37+C40+C44+C49+C51</f>
        <v>25734695.883524854</v>
      </c>
      <c r="D52" s="88">
        <f t="shared" ref="D52:G52" si="29">D37+D40+D44+D49+D51</f>
        <v>20626998.775891323</v>
      </c>
      <c r="E52" s="88">
        <f t="shared" si="29"/>
        <v>21625219.749527436</v>
      </c>
      <c r="F52" s="88">
        <f t="shared" si="29"/>
        <v>22673628.44654908</v>
      </c>
      <c r="G52" s="88">
        <f t="shared" si="29"/>
        <v>23782614.234224133</v>
      </c>
    </row>
    <row r="53" spans="2:8">
      <c r="B53" s="95"/>
      <c r="C53" s="88"/>
      <c r="D53" s="88"/>
      <c r="E53" s="88"/>
      <c r="F53" s="88"/>
      <c r="G53" s="88"/>
    </row>
    <row r="54" spans="2:8">
      <c r="B54" s="10" t="s">
        <v>109</v>
      </c>
      <c r="C54" s="7">
        <v>2021</v>
      </c>
      <c r="D54" s="7">
        <v>2022</v>
      </c>
      <c r="E54" s="7">
        <v>2023</v>
      </c>
      <c r="F54" s="7">
        <v>2024</v>
      </c>
      <c r="G54" s="7">
        <v>2025</v>
      </c>
    </row>
    <row r="55" spans="2:8">
      <c r="B55" s="94" t="s">
        <v>198</v>
      </c>
      <c r="C55" s="40"/>
      <c r="D55" s="40"/>
      <c r="E55" s="40">
        <f>((1*E56)+E57)</f>
        <v>13633060.72622592</v>
      </c>
      <c r="F55" s="40">
        <f>((1*F56)+F57)</f>
        <v>14142910.853821155</v>
      </c>
      <c r="G55" s="40">
        <f>((1*G56)+G57)</f>
        <v>14652760.98141638</v>
      </c>
    </row>
    <row r="56" spans="2:8">
      <c r="B56" s="17" t="s">
        <v>12</v>
      </c>
      <c r="C56" s="31"/>
      <c r="D56" s="31"/>
      <c r="E56" s="31">
        <f>Datos!G$6*12</f>
        <v>12199370.673736824</v>
      </c>
      <c r="F56" s="31">
        <f>Datos!H$6*12</f>
        <v>12655323.908119658</v>
      </c>
      <c r="G56" s="31">
        <f>Datos!I$6*12</f>
        <v>13111277.142502483</v>
      </c>
    </row>
    <row r="57" spans="2:8">
      <c r="B57" s="17" t="s">
        <v>13</v>
      </c>
      <c r="C57" s="31"/>
      <c r="D57" s="31"/>
      <c r="E57" s="31">
        <f>Datos!G$7*12</f>
        <v>1433690.0524890956</v>
      </c>
      <c r="F57" s="31">
        <f>Datos!H$7*12</f>
        <v>1487586.9457014967</v>
      </c>
      <c r="G57" s="31">
        <f>Datos!I$7*12</f>
        <v>1541483.8389138978</v>
      </c>
    </row>
    <row r="58" spans="2:8">
      <c r="B58" s="62" t="s">
        <v>168</v>
      </c>
      <c r="C58" s="37"/>
      <c r="D58" s="37"/>
      <c r="E58" s="37">
        <f t="shared" ref="E58" si="30">SUM(E59:E61)</f>
        <v>2564307.7156194802</v>
      </c>
      <c r="F58" s="37">
        <f t="shared" ref="F58" si="31">SUM(F59:F61)</f>
        <v>2660149.085486752</v>
      </c>
      <c r="G58" s="37">
        <f t="shared" ref="G58" si="32">SUM(G59:G61)</f>
        <v>2755990.4553540219</v>
      </c>
    </row>
    <row r="59" spans="2:8">
      <c r="B59" s="17" t="s">
        <v>14</v>
      </c>
      <c r="C59" s="31"/>
      <c r="D59" s="31"/>
      <c r="E59" s="31">
        <f>Datos!G$9*E$56</f>
        <v>1463924.4808484188</v>
      </c>
      <c r="F59" s="31">
        <f>Datos!H$9*F$56</f>
        <v>1518638.868974359</v>
      </c>
      <c r="G59" s="31">
        <f>Datos!I$9*G$56</f>
        <v>1573353.2571002978</v>
      </c>
    </row>
    <row r="60" spans="2:8">
      <c r="B60" s="17" t="s">
        <v>15</v>
      </c>
      <c r="C60" s="31"/>
      <c r="D60" s="31"/>
      <c r="E60" s="31">
        <f>Datos!G$10*E$56</f>
        <v>1036946.5072676301</v>
      </c>
      <c r="F60" s="31">
        <f>Datos!H$10*F$56</f>
        <v>1075702.5321901711</v>
      </c>
      <c r="G60" s="31">
        <f>Datos!I$10*G$56</f>
        <v>1114458.5571127112</v>
      </c>
      <c r="H60" s="40"/>
    </row>
    <row r="61" spans="2:8">
      <c r="B61" s="17" t="s">
        <v>20</v>
      </c>
      <c r="C61" s="31"/>
      <c r="D61" s="31"/>
      <c r="E61" s="31">
        <f>Datos!G$11*E$56</f>
        <v>63436.727503431481</v>
      </c>
      <c r="F61" s="31">
        <f>Datos!H$11*F$56</f>
        <v>65807.684322222223</v>
      </c>
      <c r="G61" s="31">
        <f>Datos!I$11*G$56</f>
        <v>68178.641141012908</v>
      </c>
    </row>
    <row r="62" spans="2:8">
      <c r="B62" s="62" t="s">
        <v>156</v>
      </c>
      <c r="C62" s="37"/>
      <c r="D62" s="37"/>
      <c r="E62" s="37">
        <f t="shared" ref="E62" si="33">SUM(E63:E66)</f>
        <v>2916312.2813463234</v>
      </c>
      <c r="F62" s="37">
        <f t="shared" ref="F62" si="34">SUM(F63:F66)</f>
        <v>3025365.0637534056</v>
      </c>
      <c r="G62" s="37">
        <f t="shared" ref="G62" si="35">SUM(G63:G66)</f>
        <v>3134417.8461604859</v>
      </c>
    </row>
    <row r="63" spans="2:8">
      <c r="B63" s="17" t="s">
        <v>22</v>
      </c>
      <c r="C63" s="31"/>
      <c r="D63" s="31"/>
      <c r="E63" s="31">
        <f>Datos!G$13*E$55</f>
        <v>1135633.9584946192</v>
      </c>
      <c r="F63" s="31">
        <f>Datos!H$13*F$55</f>
        <v>1178104.4741233021</v>
      </c>
      <c r="G63" s="31">
        <f>Datos!I$13*G$55</f>
        <v>1220574.9897519844</v>
      </c>
    </row>
    <row r="64" spans="2:8">
      <c r="B64" s="17" t="s">
        <v>16</v>
      </c>
      <c r="C64" s="31"/>
      <c r="D64" s="31"/>
      <c r="E64" s="31">
        <f>Datos!G$14*E$55</f>
        <v>1135633.9584946192</v>
      </c>
      <c r="F64" s="31">
        <f>Datos!H$14*F$55</f>
        <v>1178104.4741233021</v>
      </c>
      <c r="G64" s="31">
        <f>Datos!I$14*G$55</f>
        <v>1220574.9897519844</v>
      </c>
    </row>
    <row r="65" spans="2:7">
      <c r="B65" s="17" t="s">
        <v>17</v>
      </c>
      <c r="C65" s="31"/>
      <c r="D65" s="31"/>
      <c r="E65" s="31">
        <f>Datos!G$16*E$56</f>
        <v>508713.75709482556</v>
      </c>
      <c r="F65" s="31">
        <f>Datos!H$16*F$56</f>
        <v>527727.00696858973</v>
      </c>
      <c r="G65" s="31">
        <f>Datos!I$16*G$56</f>
        <v>546740.2568423535</v>
      </c>
    </row>
    <row r="66" spans="2:7">
      <c r="B66" s="17" t="s">
        <v>19</v>
      </c>
      <c r="C66" s="31"/>
      <c r="D66" s="31"/>
      <c r="E66" s="31">
        <f>Datos!G$18*E$55</f>
        <v>136330.6072622592</v>
      </c>
      <c r="F66" s="31">
        <f>Datos!H$18*F$55</f>
        <v>141429.10853821156</v>
      </c>
      <c r="G66" s="31">
        <f>Datos!I$18*G$55</f>
        <v>146527.60981416379</v>
      </c>
    </row>
    <row r="67" spans="2:7">
      <c r="B67" s="62" t="s">
        <v>197</v>
      </c>
      <c r="C67" s="37"/>
      <c r="D67" s="37"/>
      <c r="E67" s="37">
        <f t="shared" ref="E67" si="36">E68</f>
        <v>1097943.3606363141</v>
      </c>
      <c r="F67" s="37">
        <f t="shared" ref="F67" si="37">F68</f>
        <v>1138979.1517307691</v>
      </c>
      <c r="G67" s="37">
        <f t="shared" ref="G67" si="38">G68</f>
        <v>1180014.9428252233</v>
      </c>
    </row>
    <row r="68" spans="2:7">
      <c r="B68" s="72" t="s">
        <v>18</v>
      </c>
      <c r="C68" s="31"/>
      <c r="D68" s="31"/>
      <c r="E68" s="31">
        <f>Datos!G$17*E$56</f>
        <v>1097943.3606363141</v>
      </c>
      <c r="F68" s="31">
        <f>Datos!H$17*F$56</f>
        <v>1138979.1517307691</v>
      </c>
      <c r="G68" s="31">
        <f>Datos!I$17*G$56</f>
        <v>1180014.9428252233</v>
      </c>
    </row>
    <row r="69" spans="2:7">
      <c r="B69" s="95" t="s">
        <v>71</v>
      </c>
      <c r="C69" s="88">
        <f>C55+C58+C62+C67</f>
        <v>0</v>
      </c>
      <c r="D69" s="88">
        <f>D55+D58+D62+D67</f>
        <v>0</v>
      </c>
      <c r="E69" s="88">
        <f>E55+E58+E62+E67</f>
        <v>20211624.083828036</v>
      </c>
      <c r="F69" s="88">
        <f>F55+F58+F62+F67</f>
        <v>20967404.154792078</v>
      </c>
      <c r="G69" s="88">
        <f>G55+G58+G62+G67</f>
        <v>21723184.225756112</v>
      </c>
    </row>
    <row r="71" spans="2:7">
      <c r="B71" s="10" t="s">
        <v>200</v>
      </c>
      <c r="C71" s="7">
        <v>2021</v>
      </c>
      <c r="D71" s="7">
        <v>2022</v>
      </c>
      <c r="E71" s="7">
        <v>2023</v>
      </c>
      <c r="F71" s="7">
        <v>2024</v>
      </c>
      <c r="G71" s="7">
        <v>2025</v>
      </c>
    </row>
    <row r="72" spans="2:7">
      <c r="B72" s="94" t="s">
        <v>198</v>
      </c>
      <c r="C72" s="40"/>
      <c r="D72" s="40">
        <f>((1*D73)+D74)</f>
        <v>13123210.598630689</v>
      </c>
      <c r="E72" s="40">
        <f>((1*E73)+E74)</f>
        <v>13633060.72622592</v>
      </c>
      <c r="F72" s="40">
        <f>((1*F73)+F74)</f>
        <v>14142910.853821155</v>
      </c>
      <c r="G72" s="40">
        <f>((1*G73)+G74)</f>
        <v>14652760.98141638</v>
      </c>
    </row>
    <row r="73" spans="2:7">
      <c r="B73" s="17" t="s">
        <v>12</v>
      </c>
      <c r="C73" s="31"/>
      <c r="D73" s="31">
        <f>Datos!F$6*12</f>
        <v>11743417.439353995</v>
      </c>
      <c r="E73" s="31">
        <f>Datos!G$6*12</f>
        <v>12199370.673736824</v>
      </c>
      <c r="F73" s="31">
        <f>Datos!H$6*12</f>
        <v>12655323.908119658</v>
      </c>
      <c r="G73" s="31">
        <f>Datos!I$6*12</f>
        <v>13111277.142502483</v>
      </c>
    </row>
    <row r="74" spans="2:7">
      <c r="B74" s="17" t="s">
        <v>13</v>
      </c>
      <c r="C74" s="31"/>
      <c r="D74" s="31">
        <f>Datos!F$7*12</f>
        <v>1379793.1592766936</v>
      </c>
      <c r="E74" s="31">
        <f>Datos!G$7*12</f>
        <v>1433690.0524890956</v>
      </c>
      <c r="F74" s="31">
        <f>Datos!H$7*12</f>
        <v>1487586.9457014967</v>
      </c>
      <c r="G74" s="31">
        <f>Datos!I$7*12</f>
        <v>1541483.8389138978</v>
      </c>
    </row>
    <row r="75" spans="2:7">
      <c r="B75" s="62" t="s">
        <v>168</v>
      </c>
      <c r="C75" s="37"/>
      <c r="D75" s="37">
        <f t="shared" ref="D75" si="39">SUM(D76:D78)</f>
        <v>2468466.3457522099</v>
      </c>
      <c r="E75" s="37">
        <f t="shared" ref="E75" si="40">SUM(E76:E78)</f>
        <v>2564307.7156194802</v>
      </c>
      <c r="F75" s="37">
        <f t="shared" ref="F75" si="41">SUM(F76:F78)</f>
        <v>2660149.085486752</v>
      </c>
      <c r="G75" s="37">
        <f t="shared" ref="G75" si="42">SUM(G76:G78)</f>
        <v>2755990.4553540219</v>
      </c>
    </row>
    <row r="76" spans="2:7">
      <c r="B76" s="17" t="s">
        <v>14</v>
      </c>
      <c r="C76" s="31"/>
      <c r="D76" s="31">
        <f>Datos!F$9*D$73</f>
        <v>1409210.0927224793</v>
      </c>
      <c r="E76" s="31">
        <f>Datos!G$9*E$73</f>
        <v>1463924.4808484188</v>
      </c>
      <c r="F76" s="31">
        <f>Datos!H$9*F$73</f>
        <v>1518638.868974359</v>
      </c>
      <c r="G76" s="31">
        <f>Datos!I$9*G$73</f>
        <v>1573353.2571002978</v>
      </c>
    </row>
    <row r="77" spans="2:7">
      <c r="B77" s="17" t="s">
        <v>15</v>
      </c>
      <c r="C77" s="31"/>
      <c r="D77" s="31">
        <f>Datos!F$10*D$73</f>
        <v>998190.48234508967</v>
      </c>
      <c r="E77" s="31">
        <f>Datos!G$10*E$73</f>
        <v>1036946.5072676301</v>
      </c>
      <c r="F77" s="31">
        <f>Datos!H$10*F$73</f>
        <v>1075702.5321901711</v>
      </c>
      <c r="G77" s="31">
        <f>Datos!I$10*G$73</f>
        <v>1114458.5571127112</v>
      </c>
    </row>
    <row r="78" spans="2:7">
      <c r="B78" s="17" t="s">
        <v>20</v>
      </c>
      <c r="C78" s="31"/>
      <c r="D78" s="31">
        <f>Datos!F$11*D$73</f>
        <v>61065.770684640775</v>
      </c>
      <c r="E78" s="31">
        <f>Datos!G$11*E$73</f>
        <v>63436.727503431481</v>
      </c>
      <c r="F78" s="31">
        <f>Datos!H$11*F$73</f>
        <v>65807.684322222223</v>
      </c>
      <c r="G78" s="31">
        <f>Datos!I$11*G$73</f>
        <v>68178.641141012908</v>
      </c>
    </row>
    <row r="79" spans="2:7">
      <c r="B79" s="62" t="s">
        <v>156</v>
      </c>
      <c r="C79" s="37"/>
      <c r="D79" s="37">
        <f t="shared" ref="D79" si="43">SUM(D80:D83)</f>
        <v>2807259.4989392413</v>
      </c>
      <c r="E79" s="37">
        <f t="shared" ref="E79" si="44">SUM(E80:E83)</f>
        <v>2916312.2813463234</v>
      </c>
      <c r="F79" s="37">
        <f t="shared" ref="F79" si="45">SUM(F80:F83)</f>
        <v>3025365.0637534056</v>
      </c>
      <c r="G79" s="37">
        <f t="shared" ref="G79" si="46">SUM(G80:G83)</f>
        <v>3134417.8461604859</v>
      </c>
    </row>
    <row r="80" spans="2:7">
      <c r="B80" s="17" t="s">
        <v>22</v>
      </c>
      <c r="C80" s="31"/>
      <c r="D80" s="31">
        <f>Datos!F$13*D$72</f>
        <v>1093163.4428659363</v>
      </c>
      <c r="E80" s="31">
        <f>Datos!G$13*E$72</f>
        <v>1135633.9584946192</v>
      </c>
      <c r="F80" s="31">
        <f>Datos!H$13*F$72</f>
        <v>1178104.4741233021</v>
      </c>
      <c r="G80" s="31">
        <f>Datos!I$13*G$72</f>
        <v>1220574.9897519844</v>
      </c>
    </row>
    <row r="81" spans="2:7">
      <c r="B81" s="17" t="s">
        <v>16</v>
      </c>
      <c r="C81" s="31"/>
      <c r="D81" s="31">
        <f>Datos!F$14*D$72</f>
        <v>1093163.4428659363</v>
      </c>
      <c r="E81" s="31">
        <f>Datos!G$14*E$72</f>
        <v>1135633.9584946192</v>
      </c>
      <c r="F81" s="31">
        <f>Datos!H$14*F$72</f>
        <v>1178104.4741233021</v>
      </c>
      <c r="G81" s="31">
        <f>Datos!I$14*G$72</f>
        <v>1220574.9897519844</v>
      </c>
    </row>
    <row r="82" spans="2:7">
      <c r="B82" s="17" t="s">
        <v>17</v>
      </c>
      <c r="C82" s="31"/>
      <c r="D82" s="31">
        <f>Datos!F$16*D$73</f>
        <v>489700.50722106162</v>
      </c>
      <c r="E82" s="31">
        <f>Datos!G$16*E$73</f>
        <v>508713.75709482556</v>
      </c>
      <c r="F82" s="31">
        <f>Datos!H$16*F$73</f>
        <v>527727.00696858973</v>
      </c>
      <c r="G82" s="31">
        <f>Datos!I$16*G$73</f>
        <v>546740.2568423535</v>
      </c>
    </row>
    <row r="83" spans="2:7">
      <c r="B83" s="17" t="s">
        <v>19</v>
      </c>
      <c r="C83" s="31"/>
      <c r="D83" s="31">
        <f>Datos!F$18*D$72</f>
        <v>131232.10598630688</v>
      </c>
      <c r="E83" s="31">
        <f>Datos!G$18*E$72</f>
        <v>136330.6072622592</v>
      </c>
      <c r="F83" s="31">
        <f>Datos!H$18*F$72</f>
        <v>141429.10853821156</v>
      </c>
      <c r="G83" s="31">
        <f>Datos!I$18*G$72</f>
        <v>146527.60981416379</v>
      </c>
    </row>
    <row r="84" spans="2:7">
      <c r="B84" s="62" t="s">
        <v>197</v>
      </c>
      <c r="C84" s="37"/>
      <c r="D84" s="37">
        <f t="shared" ref="D84" si="47">D85</f>
        <v>1056907.5695418594</v>
      </c>
      <c r="E84" s="37">
        <f t="shared" ref="E84" si="48">E85</f>
        <v>1097943.3606363141</v>
      </c>
      <c r="F84" s="37">
        <f t="shared" ref="F84" si="49">F85</f>
        <v>1138979.1517307691</v>
      </c>
      <c r="G84" s="37">
        <f t="shared" ref="G84" si="50">G85</f>
        <v>1180014.9428252233</v>
      </c>
    </row>
    <row r="85" spans="2:7">
      <c r="B85" s="72" t="s">
        <v>18</v>
      </c>
      <c r="C85" s="31"/>
      <c r="D85" s="31">
        <f>Datos!F$17*D$73</f>
        <v>1056907.5695418594</v>
      </c>
      <c r="E85" s="31">
        <f>Datos!G$17*E$73</f>
        <v>1097943.3606363141</v>
      </c>
      <c r="F85" s="31">
        <f>Datos!H$17*F$73</f>
        <v>1138979.1517307691</v>
      </c>
      <c r="G85" s="31">
        <f>Datos!I$17*G$73</f>
        <v>1180014.9428252233</v>
      </c>
    </row>
    <row r="86" spans="2:7">
      <c r="B86" s="95" t="s">
        <v>71</v>
      </c>
      <c r="C86" s="88"/>
      <c r="D86" s="88">
        <f>D72+D75+D79+D84</f>
        <v>19455844.012864001</v>
      </c>
      <c r="E86" s="88">
        <f>E72+E75+E79+E84</f>
        <v>20211624.083828036</v>
      </c>
      <c r="F86" s="88">
        <f>F72+F75+F79+F84</f>
        <v>20967404.154792078</v>
      </c>
      <c r="G86" s="88">
        <f>G72+G75+G79+G84</f>
        <v>21723184.225756112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2BE9A-A25A-48CF-AAD3-1AD1C9FC7DED}">
  <dimension ref="B1:J50"/>
  <sheetViews>
    <sheetView showGridLines="0" zoomScale="70" zoomScaleNormal="70" workbookViewId="0">
      <selection activeCell="B1" sqref="B1"/>
    </sheetView>
  </sheetViews>
  <sheetFormatPr baseColWidth="10" defaultRowHeight="15"/>
  <cols>
    <col min="1" max="1" width="2.7109375" customWidth="1"/>
    <col min="2" max="2" width="46.7109375" customWidth="1"/>
    <col min="3" max="3" width="20.7109375" customWidth="1"/>
    <col min="4" max="4" width="17.42578125" bestFit="1" customWidth="1"/>
    <col min="5" max="5" width="18.28515625" bestFit="1" customWidth="1"/>
    <col min="6" max="6" width="17.85546875" bestFit="1" customWidth="1"/>
    <col min="7" max="7" width="18.28515625" bestFit="1" customWidth="1"/>
    <col min="8" max="8" width="18.7109375" bestFit="1" customWidth="1"/>
    <col min="9" max="9" width="47.42578125" bestFit="1" customWidth="1"/>
  </cols>
  <sheetData>
    <row r="1" spans="2:10" ht="12.95" customHeight="1"/>
    <row r="2" spans="2:10" ht="20.100000000000001" customHeight="1">
      <c r="B2" s="10" t="s">
        <v>192</v>
      </c>
      <c r="C2" s="7">
        <v>2020</v>
      </c>
    </row>
    <row r="3" spans="2:10">
      <c r="B3" s="75" t="s">
        <v>73</v>
      </c>
      <c r="C3" s="79"/>
    </row>
    <row r="4" spans="2:10">
      <c r="B4" s="17" t="s">
        <v>60</v>
      </c>
      <c r="C4" s="21">
        <f>537000*3</f>
        <v>1611000</v>
      </c>
      <c r="D4" s="26"/>
      <c r="E4" s="27"/>
      <c r="J4" s="25"/>
    </row>
    <row r="5" spans="2:10">
      <c r="B5" s="17" t="s">
        <v>57</v>
      </c>
      <c r="C5" s="21">
        <f>1096036*3</f>
        <v>3288108</v>
      </c>
      <c r="J5" s="25"/>
    </row>
    <row r="6" spans="2:10" s="90" customFormat="1">
      <c r="B6" s="62" t="s">
        <v>189</v>
      </c>
      <c r="C6" s="89"/>
      <c r="J6" s="91"/>
    </row>
    <row r="7" spans="2:10" s="90" customFormat="1">
      <c r="B7" s="17" t="s">
        <v>191</v>
      </c>
      <c r="C7" s="21">
        <v>614462</v>
      </c>
      <c r="J7" s="91"/>
    </row>
    <row r="8" spans="2:10">
      <c r="B8" s="17" t="s">
        <v>49</v>
      </c>
      <c r="C8" s="21">
        <v>32000</v>
      </c>
      <c r="J8" s="25"/>
    </row>
    <row r="9" spans="2:10">
      <c r="B9" s="17" t="s">
        <v>50</v>
      </c>
      <c r="C9" s="31">
        <v>37825</v>
      </c>
      <c r="J9" s="25"/>
    </row>
    <row r="10" spans="2:10">
      <c r="B10" s="17" t="s">
        <v>51</v>
      </c>
      <c r="C10" s="31">
        <v>660000</v>
      </c>
      <c r="J10" s="25"/>
    </row>
    <row r="11" spans="2:10">
      <c r="B11" s="17" t="s">
        <v>52</v>
      </c>
      <c r="C11" s="31">
        <v>6900</v>
      </c>
      <c r="J11" s="25"/>
    </row>
    <row r="12" spans="2:10">
      <c r="B12" s="17" t="s">
        <v>53</v>
      </c>
      <c r="C12" s="31">
        <v>15000</v>
      </c>
      <c r="J12" s="25"/>
    </row>
    <row r="13" spans="2:10">
      <c r="B13" s="17" t="s">
        <v>54</v>
      </c>
      <c r="C13" s="31">
        <v>3000</v>
      </c>
      <c r="J13" s="25"/>
    </row>
    <row r="14" spans="2:10">
      <c r="B14" s="17" t="s">
        <v>55</v>
      </c>
      <c r="C14" s="31">
        <v>6100</v>
      </c>
      <c r="J14" s="25"/>
    </row>
    <row r="15" spans="2:10">
      <c r="B15" s="17" t="s">
        <v>56</v>
      </c>
      <c r="C15" s="31">
        <v>6100</v>
      </c>
      <c r="J15" s="25"/>
    </row>
    <row r="16" spans="2:10">
      <c r="B16" s="62" t="s">
        <v>47</v>
      </c>
      <c r="C16" s="37"/>
      <c r="J16" s="25"/>
    </row>
    <row r="17" spans="2:10">
      <c r="B17" s="17" t="s">
        <v>69</v>
      </c>
      <c r="C17" s="31">
        <v>853624</v>
      </c>
      <c r="J17" s="25"/>
    </row>
    <row r="18" spans="2:10">
      <c r="B18" s="17" t="s">
        <v>184</v>
      </c>
      <c r="C18" s="31">
        <v>250000</v>
      </c>
      <c r="J18" s="25"/>
    </row>
    <row r="19" spans="2:10">
      <c r="B19" s="62" t="s">
        <v>190</v>
      </c>
      <c r="C19" s="37"/>
      <c r="J19" s="25"/>
    </row>
    <row r="20" spans="2:10">
      <c r="B20" s="17" t="s">
        <v>75</v>
      </c>
      <c r="C20" s="31">
        <v>300000</v>
      </c>
      <c r="J20" s="25"/>
    </row>
    <row r="21" spans="2:10">
      <c r="B21" s="85" t="s">
        <v>188</v>
      </c>
      <c r="C21" s="88">
        <f>SUM(C4:C20)</f>
        <v>7684119</v>
      </c>
      <c r="J21" s="25"/>
    </row>
    <row r="23" spans="2:10" ht="20.100000000000001" customHeight="1">
      <c r="B23" s="76" t="s">
        <v>193</v>
      </c>
      <c r="C23" s="52">
        <v>2020</v>
      </c>
      <c r="D23" s="52">
        <v>2021</v>
      </c>
      <c r="E23" s="52">
        <v>2022</v>
      </c>
      <c r="F23" s="52">
        <v>2023</v>
      </c>
      <c r="G23" s="52">
        <v>2024</v>
      </c>
      <c r="H23" s="52">
        <v>2025</v>
      </c>
    </row>
    <row r="24" spans="2:10" ht="18" customHeight="1">
      <c r="B24" s="92" t="s">
        <v>47</v>
      </c>
      <c r="D24" s="27">
        <f>SUM(D25:D29)</f>
        <v>1893694.8452945822</v>
      </c>
      <c r="E24" s="27">
        <f t="shared" ref="E24:H24" si="0">SUM(E25:E29)</f>
        <v>1970438.6777010621</v>
      </c>
      <c r="F24" s="27">
        <f t="shared" si="0"/>
        <v>2050292.628840277</v>
      </c>
      <c r="G24" s="27">
        <f t="shared" si="0"/>
        <v>2133382.7393102576</v>
      </c>
      <c r="H24" s="27">
        <f t="shared" si="0"/>
        <v>2219840.1576273227</v>
      </c>
    </row>
    <row r="25" spans="2:10" ht="15" customHeight="1">
      <c r="B25" s="17" t="s">
        <v>63</v>
      </c>
      <c r="C25" s="18"/>
      <c r="D25" s="21">
        <f>142940*(1+Datos!E4)</f>
        <v>148732.78305131354</v>
      </c>
      <c r="E25" s="21">
        <f>D25*(1+Datos!E4)</f>
        <v>154760.32429123478</v>
      </c>
      <c r="F25" s="21">
        <f>E25*(1+Datos!F4)</f>
        <v>161032.13752454982</v>
      </c>
      <c r="G25" s="21">
        <f>F25*(1+Datos!G4)</f>
        <v>167558.12211227196</v>
      </c>
      <c r="H25" s="21">
        <f>G25*(1+Datos!H4)</f>
        <v>174348.57859668424</v>
      </c>
    </row>
    <row r="26" spans="2:10" ht="15" customHeight="1">
      <c r="B26" s="17" t="s">
        <v>64</v>
      </c>
      <c r="C26" s="18"/>
      <c r="D26" s="21">
        <f>480100*(1+Datos!E4)</f>
        <v>499556.52121824282</v>
      </c>
      <c r="E26" s="21">
        <f>D26*(1+Datos!E4)</f>
        <v>519801.53695411934</v>
      </c>
      <c r="F26" s="21">
        <f>E26*(1+Datos!F4)</f>
        <v>540867.00171775825</v>
      </c>
      <c r="G26" s="21">
        <f>F26*(1+Datos!G4)</f>
        <v>562786.16500700824</v>
      </c>
      <c r="H26" s="21">
        <f>G26*(1+Datos!H4)</f>
        <v>585593.6237880796</v>
      </c>
    </row>
    <row r="27" spans="2:10" ht="15" customHeight="1">
      <c r="B27" s="17" t="s">
        <v>185</v>
      </c>
      <c r="C27" s="18"/>
      <c r="D27" s="21">
        <f>120000*(1+Datos!E4)</f>
        <v>124863.11715515338</v>
      </c>
      <c r="E27" s="21">
        <f>D27*(1+Datos!E4)</f>
        <v>129923.31688084632</v>
      </c>
      <c r="F27" s="21">
        <f>E27*(1+Datos!F4)</f>
        <v>135188.58614066025</v>
      </c>
      <c r="G27" s="21">
        <f>F27*(1+Datos!G4)</f>
        <v>140667.23557767339</v>
      </c>
      <c r="H27" s="21">
        <f>G27*(1+Datos!H4)</f>
        <v>146367.91263188826</v>
      </c>
    </row>
    <row r="28" spans="2:10" ht="15" customHeight="1">
      <c r="B28" s="17" t="s">
        <v>66</v>
      </c>
      <c r="C28" s="18"/>
      <c r="D28" s="21">
        <f>36900*(1+Datos!D4)</f>
        <v>38395.408525209663</v>
      </c>
      <c r="E28" s="21">
        <f>D28*(1+Datos!E4)</f>
        <v>39951.419940860244</v>
      </c>
      <c r="F28" s="21">
        <f>E28*(1+Datos!F4)</f>
        <v>41570.490238253027</v>
      </c>
      <c r="G28" s="21">
        <f>F28*(1+Datos!G4)</f>
        <v>43255.174940134566</v>
      </c>
      <c r="H28" s="21">
        <f>G28*(1+Datos!H4)</f>
        <v>45008.133134305644</v>
      </c>
    </row>
    <row r="29" spans="2:10" ht="15" customHeight="1">
      <c r="B29" s="17" t="s">
        <v>65</v>
      </c>
      <c r="C29" s="18"/>
      <c r="D29" s="21">
        <f>20000*52*(1+Datos!D4)</f>
        <v>1082147.0153446626</v>
      </c>
      <c r="E29" s="21">
        <f>D29*(1+Datos!E4)</f>
        <v>1126002.0796340015</v>
      </c>
      <c r="F29" s="21">
        <f>E29*(1+Datos!F4)</f>
        <v>1171634.4132190556</v>
      </c>
      <c r="G29" s="21">
        <f>F29*(1+Datos!G4)</f>
        <v>1219116.0416731695</v>
      </c>
      <c r="H29" s="21">
        <f>G29*(1+Datos!H4)</f>
        <v>1268521.9094763652</v>
      </c>
    </row>
    <row r="30" spans="2:10" ht="18" customHeight="1">
      <c r="B30" s="62" t="s">
        <v>70</v>
      </c>
      <c r="C30" s="12"/>
      <c r="D30" s="29">
        <f>SUM(D31:D32)</f>
        <v>25340479.133684494</v>
      </c>
      <c r="E30" s="29">
        <f>SUM(E31:E32)</f>
        <v>26364496.492435955</v>
      </c>
      <c r="F30" s="29">
        <f t="shared" ref="F30:H30" si="1">SUM(F31:F32)</f>
        <v>20211624.083828036</v>
      </c>
      <c r="G30" s="29">
        <f t="shared" si="1"/>
        <v>20967404.154792078</v>
      </c>
      <c r="H30" s="29">
        <f t="shared" si="1"/>
        <v>21723184.225756112</v>
      </c>
    </row>
    <row r="31" spans="2:10" ht="15" customHeight="1">
      <c r="B31" s="17" t="s">
        <v>72</v>
      </c>
      <c r="C31" s="18"/>
      <c r="D31" s="21">
        <f>Nómina!C17</f>
        <v>25340479.133684494</v>
      </c>
      <c r="E31" s="21">
        <f>Nómina!D17</f>
        <v>26364496.492435955</v>
      </c>
      <c r="F31" s="21"/>
      <c r="G31" s="21"/>
      <c r="H31" s="21"/>
    </row>
    <row r="32" spans="2:10" ht="15" customHeight="1">
      <c r="B32" s="17" t="s">
        <v>109</v>
      </c>
      <c r="C32" s="18"/>
      <c r="D32" s="21"/>
      <c r="E32" s="21"/>
      <c r="F32" s="21">
        <f>Nómina!E69</f>
        <v>20211624.083828036</v>
      </c>
      <c r="G32" s="21">
        <f>Nómina!F69</f>
        <v>20967404.154792078</v>
      </c>
      <c r="H32" s="21">
        <f>Nómina!G69</f>
        <v>21723184.225756112</v>
      </c>
    </row>
    <row r="33" spans="2:8" ht="18" customHeight="1">
      <c r="B33" s="62" t="s">
        <v>25</v>
      </c>
      <c r="C33" s="12"/>
      <c r="D33" s="28">
        <f>SUM(D34:D35)</f>
        <v>292605.78953035083</v>
      </c>
      <c r="E33" s="28">
        <f>SUM(E34:E35)</f>
        <v>557649.71493353997</v>
      </c>
      <c r="F33" s="28">
        <f>SUM(F34:F35)</f>
        <v>673088.85631041671</v>
      </c>
      <c r="G33" s="28">
        <f>SUM(G34:G35)</f>
        <v>812425.06963938556</v>
      </c>
      <c r="H33" s="28">
        <f>SUM(H34:H35)</f>
        <v>980605.29095160705</v>
      </c>
    </row>
    <row r="34" spans="2:8" ht="15" customHeight="1">
      <c r="B34" s="17" t="s">
        <v>113</v>
      </c>
      <c r="C34" s="17"/>
      <c r="D34" s="34">
        <f>Datos!$D$24*(Ventas!Q9/1000)</f>
        <v>254439.81698291376</v>
      </c>
      <c r="E34" s="34">
        <f>Datos!$D$24*(Ventas!R9/1000)</f>
        <v>484912.79559438262</v>
      </c>
      <c r="F34" s="34">
        <f>Datos!$D$24*(Ventas!S9/1000)</f>
        <v>585294.65766123193</v>
      </c>
      <c r="G34" s="34">
        <f>Datos!$D$24*(Ventas!T9/1000)</f>
        <v>706456.5822951179</v>
      </c>
      <c r="H34" s="34">
        <f>Datos!$D$24*(Ventas!U9/1000)</f>
        <v>852700.25300139748</v>
      </c>
    </row>
    <row r="35" spans="2:8" ht="15" customHeight="1">
      <c r="B35" s="17" t="s">
        <v>114</v>
      </c>
      <c r="C35" s="18"/>
      <c r="D35" s="21">
        <f>D34*15%</f>
        <v>38165.972547437064</v>
      </c>
      <c r="E35" s="21">
        <f t="shared" ref="E35:H35" si="2">E34*15%</f>
        <v>72736.919339157394</v>
      </c>
      <c r="F35" s="21">
        <f t="shared" si="2"/>
        <v>87794.198649184793</v>
      </c>
      <c r="G35" s="21">
        <f t="shared" si="2"/>
        <v>105968.48734426768</v>
      </c>
      <c r="H35" s="21">
        <f t="shared" si="2"/>
        <v>127905.03795020962</v>
      </c>
    </row>
    <row r="36" spans="2:8" ht="18" customHeight="1">
      <c r="B36" s="62" t="s">
        <v>61</v>
      </c>
      <c r="C36" s="37"/>
      <c r="D36" s="37">
        <f>C7*(1+Datos!E4)</f>
        <v>639363.67244491552</v>
      </c>
      <c r="E36" s="37">
        <f>D36*(1+Datos!F4)</f>
        <v>665274.50947698834</v>
      </c>
      <c r="F36" s="37">
        <f>E36*(1+Datos!G4)</f>
        <v>692235.40847635327</v>
      </c>
      <c r="G36" s="37">
        <f>F36*(1+Datos!H4)</f>
        <v>720288.92422940291</v>
      </c>
      <c r="H36" s="37">
        <f>G36*(1+Datos!I4)</f>
        <v>749479.33609679446</v>
      </c>
    </row>
    <row r="37" spans="2:8" ht="18" customHeight="1">
      <c r="B37" s="62" t="s">
        <v>196</v>
      </c>
      <c r="C37" s="37"/>
      <c r="D37" s="37">
        <f>50000*(1+Datos!E4)</f>
        <v>52026.298814647242</v>
      </c>
      <c r="E37" s="37">
        <f>D37*(1+Datos!F4)</f>
        <v>54134.7153670193</v>
      </c>
      <c r="F37" s="37">
        <f>E37*(1+Datos!G4)</f>
        <v>56328.577558608442</v>
      </c>
      <c r="G37" s="37">
        <f>F37*(1+Datos!H4)</f>
        <v>58611.348157363915</v>
      </c>
      <c r="H37" s="37">
        <f>G37*(1+Datos!I4)</f>
        <v>60986.630263286781</v>
      </c>
    </row>
    <row r="38" spans="2:8" s="39" customFormat="1" ht="18" customHeight="1">
      <c r="B38" s="93" t="s">
        <v>110</v>
      </c>
      <c r="C38" s="88">
        <f>C24+C30+C33+C36+C37</f>
        <v>0</v>
      </c>
      <c r="D38" s="88">
        <f>D24+D30+D33+D36+D37</f>
        <v>28218169.739768993</v>
      </c>
      <c r="E38" s="88">
        <f>E24+E30+E33+E36+E37</f>
        <v>29611994.109914567</v>
      </c>
      <c r="F38" s="88">
        <f>F24+F30+F33+F36+F37</f>
        <v>23683569.55501369</v>
      </c>
      <c r="G38" s="88">
        <f t="shared" ref="G38:H38" si="3">G24+G30+G33+G36+G37</f>
        <v>24692112.236128487</v>
      </c>
      <c r="H38" s="88">
        <f t="shared" si="3"/>
        <v>25734095.640695121</v>
      </c>
    </row>
    <row r="39" spans="2:8">
      <c r="B39" s="11"/>
      <c r="C39" s="32"/>
      <c r="D39" s="9"/>
      <c r="E39" s="9"/>
      <c r="F39" s="35"/>
      <c r="G39" s="29"/>
      <c r="H39" s="29"/>
    </row>
    <row r="40" spans="2:8" ht="20.100000000000001" customHeight="1">
      <c r="B40" s="10" t="s">
        <v>193</v>
      </c>
      <c r="C40" s="7">
        <v>2020</v>
      </c>
      <c r="D40" s="7">
        <v>2021</v>
      </c>
      <c r="E40" s="7">
        <v>2022</v>
      </c>
      <c r="F40" s="7">
        <v>2023</v>
      </c>
      <c r="G40" s="7">
        <v>2024</v>
      </c>
      <c r="H40" s="7">
        <v>2025</v>
      </c>
    </row>
    <row r="41" spans="2:8" s="39" customFormat="1" ht="20.100000000000001" customHeight="1">
      <c r="B41" s="62" t="s">
        <v>133</v>
      </c>
      <c r="C41" s="13"/>
      <c r="D41" s="13"/>
      <c r="E41" s="13"/>
      <c r="F41" s="13"/>
      <c r="G41" s="13"/>
      <c r="H41" s="13"/>
    </row>
    <row r="42" spans="2:8">
      <c r="B42" s="17" t="s">
        <v>132</v>
      </c>
      <c r="C42" s="17"/>
      <c r="D42" s="21">
        <f>Datos!$D$29*Ventas!Q9</f>
        <v>3855148.7421653606</v>
      </c>
      <c r="E42" s="21">
        <f>Datos!$D$29*Ventas!R9</f>
        <v>7347163.5696118586</v>
      </c>
      <c r="F42" s="21">
        <f>Datos!$D$29*Ventas!S9</f>
        <v>8868100.8736550305</v>
      </c>
      <c r="G42" s="21">
        <f>Datos!$D$29*Ventas!T9</f>
        <v>10703887.61053209</v>
      </c>
      <c r="H42" s="21">
        <f>Datos!$D$29*Ventas!U9</f>
        <v>12919700.803051479</v>
      </c>
    </row>
    <row r="43" spans="2:8">
      <c r="B43" s="17" t="s">
        <v>59</v>
      </c>
      <c r="C43" s="17"/>
      <c r="D43" s="20">
        <f>Datos!$D$31*Ventas!Q9</f>
        <v>3855148.7421653606</v>
      </c>
      <c r="E43" s="20">
        <f>Datos!$D$31*Ventas!R9</f>
        <v>7347163.5696118586</v>
      </c>
      <c r="F43" s="20">
        <f>Datos!$D$31*Ventas!S9</f>
        <v>8868100.8736550305</v>
      </c>
      <c r="G43" s="20">
        <f>Datos!$D$31*Ventas!T9</f>
        <v>10703887.61053209</v>
      </c>
      <c r="H43" s="20">
        <f>Datos!$D$31*Ventas!U9</f>
        <v>12919700.803051479</v>
      </c>
    </row>
    <row r="44" spans="2:8" s="39" customFormat="1">
      <c r="B44" s="62" t="s">
        <v>195</v>
      </c>
      <c r="C44" s="36"/>
      <c r="D44" s="29"/>
      <c r="E44" s="29"/>
      <c r="F44" s="29"/>
      <c r="G44" s="29"/>
      <c r="H44" s="29"/>
    </row>
    <row r="45" spans="2:8">
      <c r="B45" s="17" t="s">
        <v>194</v>
      </c>
      <c r="C45" s="17"/>
      <c r="D45" s="34">
        <f>Nómina!C17+Nómina!C52</f>
        <v>51075175.017209351</v>
      </c>
      <c r="E45" s="34">
        <f>Nómina!D17+Nómina!D52+Nómina!D86</f>
        <v>66447339.281191282</v>
      </c>
      <c r="F45" s="34">
        <f>Nómina!E17+Nómina!E34+Nómina!E52+Nómina!E86</f>
        <v>96613871.535730273</v>
      </c>
      <c r="G45" s="34">
        <f>Nómina!F17+Nómina!F34+Nómina!F52+Nómina!F86</f>
        <v>100466095.0212189</v>
      </c>
      <c r="H45" s="34">
        <f>Nómina!G17+Nómina!G34+Nómina!G52+Nómina!G86</f>
        <v>104378895.59736089</v>
      </c>
    </row>
    <row r="46" spans="2:8">
      <c r="B46" s="17" t="s">
        <v>48</v>
      </c>
      <c r="C46" s="17"/>
      <c r="D46" s="21">
        <f>20000*12*(1+Datos!E4)</f>
        <v>249726.23431030675</v>
      </c>
      <c r="E46" s="21">
        <f>D46*(1+Datos!E4)</f>
        <v>259846.63376169265</v>
      </c>
      <c r="F46" s="21">
        <f>E46*(1+Datos!F4)</f>
        <v>270377.1722813205</v>
      </c>
      <c r="G46" s="21">
        <f>F46*(1+Datos!G4)</f>
        <v>281334.47115534678</v>
      </c>
      <c r="H46" s="21">
        <f>G46*(1+Datos!H4)</f>
        <v>292735.82526377653</v>
      </c>
    </row>
    <row r="47" spans="2:8">
      <c r="B47" s="17" t="s">
        <v>58</v>
      </c>
      <c r="C47" s="21"/>
      <c r="D47" s="31">
        <f>910000*12*(1+Datos!D4)</f>
        <v>11362543.661118958</v>
      </c>
      <c r="E47" s="31">
        <f>D47*(1+Datos!E4)</f>
        <v>11823021.836157016</v>
      </c>
      <c r="F47" s="31">
        <f>E47*(1+Datos!F4)</f>
        <v>12302161.338800086</v>
      </c>
      <c r="G47" s="31">
        <f>F47*(1+Datos!G4)</f>
        <v>12800718.437568281</v>
      </c>
      <c r="H47" s="31">
        <f>G47*(1+Datos!H4)</f>
        <v>13319480.049501834</v>
      </c>
    </row>
    <row r="48" spans="2:8">
      <c r="B48" s="17" t="s">
        <v>77</v>
      </c>
      <c r="C48" s="21"/>
      <c r="D48" s="31">
        <f>1540000*(1+Datos!D4)</f>
        <v>1602410.0034911351</v>
      </c>
      <c r="E48" s="31">
        <f>D48*(1+Datos!E4)</f>
        <v>1667349.2333041944</v>
      </c>
      <c r="F48" s="31">
        <f>E48*(1+Datos!F4)</f>
        <v>1734920.1888051399</v>
      </c>
      <c r="G48" s="31">
        <f>F48*(1+Datos!G4)</f>
        <v>1805229.5232468084</v>
      </c>
      <c r="H48" s="31">
        <f>G48*(1+Datos!H4)</f>
        <v>1878388.2121092328</v>
      </c>
    </row>
    <row r="49" spans="2:8">
      <c r="B49" s="72" t="s">
        <v>115</v>
      </c>
      <c r="C49" s="72"/>
      <c r="D49" s="73">
        <f>Activos!D28</f>
        <v>6206271.2380952379</v>
      </c>
      <c r="E49" s="73">
        <f>Activos!E28</f>
        <v>6498939.9794471543</v>
      </c>
      <c r="F49" s="73">
        <f>Activos!F28</f>
        <v>6779660.9594543697</v>
      </c>
      <c r="G49" s="73">
        <f>Activos!G28</f>
        <v>7198600.4742032681</v>
      </c>
      <c r="H49" s="73">
        <f>Activos!H28</f>
        <v>7320760.0175618716</v>
      </c>
    </row>
    <row r="50" spans="2:8" ht="18" customHeight="1">
      <c r="B50" s="93" t="s">
        <v>111</v>
      </c>
      <c r="C50" s="88">
        <f t="shared" ref="C50:H50" si="4">SUM(C42:C49)</f>
        <v>0</v>
      </c>
      <c r="D50" s="88">
        <f t="shared" si="4"/>
        <v>78206423.638555706</v>
      </c>
      <c r="E50" s="88">
        <f t="shared" si="4"/>
        <v>101390824.10308506</v>
      </c>
      <c r="F50" s="88">
        <f t="shared" si="4"/>
        <v>135437192.94238123</v>
      </c>
      <c r="G50" s="88">
        <f t="shared" si="4"/>
        <v>143959753.14845675</v>
      </c>
      <c r="H50" s="88">
        <f t="shared" si="4"/>
        <v>153029661.30790058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461E-FB0D-4F82-B777-6BAD291341C4}">
  <dimension ref="A1:AV15"/>
  <sheetViews>
    <sheetView showGridLines="0" zoomScale="70" zoomScaleNormal="70" workbookViewId="0">
      <selection activeCell="R14" sqref="R14"/>
    </sheetView>
  </sheetViews>
  <sheetFormatPr baseColWidth="10" defaultColWidth="11.42578125" defaultRowHeight="15"/>
  <cols>
    <col min="1" max="1" width="2.7109375" style="8" customWidth="1"/>
    <col min="2" max="2" width="40.7109375" style="9" customWidth="1"/>
    <col min="3" max="3" width="23.85546875" style="8" bestFit="1" customWidth="1"/>
    <col min="4" max="4" width="6.28515625" style="8" bestFit="1" customWidth="1"/>
    <col min="5" max="9" width="15.85546875" style="8" bestFit="1" customWidth="1"/>
    <col min="10" max="11" width="15.42578125" style="8" bestFit="1" customWidth="1"/>
    <col min="12" max="16" width="15.85546875" style="8" bestFit="1" customWidth="1"/>
    <col min="17" max="17" width="17.28515625" style="8" bestFit="1" customWidth="1"/>
    <col min="18" max="21" width="18.7109375" style="8" customWidth="1"/>
    <col min="22" max="22" width="17.140625" style="8" bestFit="1" customWidth="1"/>
    <col min="23" max="23" width="11.42578125" style="8"/>
    <col min="24" max="24" width="14.85546875" style="8" bestFit="1" customWidth="1"/>
    <col min="25" max="16384" width="11.42578125" style="8"/>
  </cols>
  <sheetData>
    <row r="1" spans="1:48" ht="12.95" customHeight="1"/>
    <row r="2" spans="1:48" s="12" customFormat="1" ht="20.100000000000001" customHeight="1">
      <c r="A2" s="8"/>
      <c r="B2" s="7" t="s">
        <v>73</v>
      </c>
      <c r="C2" s="7" t="s">
        <v>11</v>
      </c>
      <c r="D2" s="125">
        <v>2020</v>
      </c>
      <c r="E2" s="125" t="s">
        <v>86</v>
      </c>
      <c r="F2" s="125" t="s">
        <v>87</v>
      </c>
      <c r="G2" s="125" t="s">
        <v>88</v>
      </c>
      <c r="H2" s="125" t="s">
        <v>89</v>
      </c>
      <c r="I2" s="125" t="s">
        <v>90</v>
      </c>
      <c r="J2" s="125" t="s">
        <v>91</v>
      </c>
      <c r="K2" s="125" t="s">
        <v>92</v>
      </c>
      <c r="L2" s="125" t="s">
        <v>93</v>
      </c>
      <c r="M2" s="125" t="s">
        <v>94</v>
      </c>
      <c r="N2" s="125" t="s">
        <v>95</v>
      </c>
      <c r="O2" s="125" t="s">
        <v>96</v>
      </c>
      <c r="P2" s="125" t="s">
        <v>97</v>
      </c>
      <c r="Q2" s="125" t="s">
        <v>265</v>
      </c>
      <c r="R2" s="7">
        <v>2022</v>
      </c>
      <c r="S2" s="7">
        <v>2023</v>
      </c>
      <c r="T2" s="7">
        <v>2024</v>
      </c>
      <c r="U2" s="7">
        <v>2025</v>
      </c>
    </row>
    <row r="3" spans="1:48" s="12" customFormat="1" ht="18" customHeight="1">
      <c r="A3" s="8"/>
      <c r="B3" s="11" t="s">
        <v>183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78"/>
      <c r="S3" s="78"/>
      <c r="T3" s="78"/>
      <c r="U3" s="78"/>
      <c r="V3" s="8"/>
    </row>
    <row r="4" spans="1:48" s="12" customFormat="1" ht="15" customHeight="1">
      <c r="A4" s="8"/>
      <c r="B4" s="17" t="s">
        <v>80</v>
      </c>
      <c r="C4" s="18" t="s">
        <v>136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22">
        <v>0.16</v>
      </c>
      <c r="S4" s="22">
        <v>0.16</v>
      </c>
      <c r="T4" s="22">
        <v>0.16</v>
      </c>
      <c r="U4" s="22">
        <v>0.16</v>
      </c>
    </row>
    <row r="5" spans="1:48" s="12" customFormat="1" ht="15" customHeight="1">
      <c r="A5" s="8"/>
      <c r="B5" s="17" t="s">
        <v>31</v>
      </c>
      <c r="C5" s="18" t="s">
        <v>181</v>
      </c>
      <c r="D5" s="21"/>
      <c r="E5" s="21">
        <v>4</v>
      </c>
      <c r="F5" s="21">
        <v>5</v>
      </c>
      <c r="G5" s="21">
        <v>6</v>
      </c>
      <c r="H5" s="21">
        <v>7</v>
      </c>
      <c r="I5" s="21">
        <v>8</v>
      </c>
      <c r="J5" s="21">
        <v>9</v>
      </c>
      <c r="K5" s="21">
        <v>10</v>
      </c>
      <c r="L5" s="21">
        <v>11</v>
      </c>
      <c r="M5" s="21">
        <v>12</v>
      </c>
      <c r="N5" s="21">
        <v>13</v>
      </c>
      <c r="O5" s="21">
        <v>14</v>
      </c>
      <c r="P5" s="21">
        <v>15</v>
      </c>
      <c r="Q5" s="21">
        <f>P5</f>
        <v>15</v>
      </c>
      <c r="R5" s="21">
        <f>Q5*(1+R4)</f>
        <v>17.399999999999999</v>
      </c>
      <c r="S5" s="21">
        <f>R5*(1+S4)</f>
        <v>20.183999999999997</v>
      </c>
      <c r="T5" s="21">
        <f>S5*(1+T4)</f>
        <v>23.413439999999994</v>
      </c>
      <c r="U5" s="21">
        <f t="shared" ref="U5" si="0">T5*(1+U4)</f>
        <v>27.159590399999992</v>
      </c>
    </row>
    <row r="6" spans="1:48" s="12" customFormat="1" ht="15" customHeight="1">
      <c r="A6" s="8"/>
      <c r="B6" s="17" t="s">
        <v>81</v>
      </c>
      <c r="C6" s="18" t="s">
        <v>181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1"/>
      <c r="Q6" s="21">
        <f>Q5-D5</f>
        <v>15</v>
      </c>
      <c r="R6" s="21">
        <f>R5-Q5</f>
        <v>2.3999999999999986</v>
      </c>
      <c r="S6" s="21">
        <f>S5-R5</f>
        <v>2.7839999999999989</v>
      </c>
      <c r="T6" s="21">
        <f t="shared" ref="T6:U6" si="1">T5-S5</f>
        <v>3.2294399999999968</v>
      </c>
      <c r="U6" s="21">
        <f t="shared" si="1"/>
        <v>3.7461503999999977</v>
      </c>
    </row>
    <row r="7" spans="1:48" s="12" customFormat="1" ht="15" customHeight="1">
      <c r="A7" s="8"/>
      <c r="B7" s="17" t="s">
        <v>84</v>
      </c>
      <c r="C7" s="18" t="s">
        <v>78</v>
      </c>
      <c r="D7" s="18"/>
      <c r="E7" s="21">
        <f>Datos!E20*Datos!E30</f>
        <v>338170.94229520706</v>
      </c>
      <c r="F7" s="21">
        <f>Datos!E20*Datos!E30</f>
        <v>338170.94229520706</v>
      </c>
      <c r="G7" s="21">
        <f>Datos!E20*Datos!E30</f>
        <v>338170.94229520706</v>
      </c>
      <c r="H7" s="21">
        <f>Datos!E20*Datos!E30</f>
        <v>338170.94229520706</v>
      </c>
      <c r="I7" s="21">
        <f>Datos!E20*Datos!E30</f>
        <v>338170.94229520706</v>
      </c>
      <c r="J7" s="21">
        <f>Datos!E20*Datos!E30</f>
        <v>338170.94229520706</v>
      </c>
      <c r="K7" s="21">
        <f>Datos!E20*Datos!E30</f>
        <v>338170.94229520706</v>
      </c>
      <c r="L7" s="21">
        <f>Datos!E20*Datos!E30</f>
        <v>338170.94229520706</v>
      </c>
      <c r="M7" s="21">
        <f>Datos!E20*Datos!E30</f>
        <v>338170.94229520706</v>
      </c>
      <c r="N7" s="21">
        <f>Datos!E20*Datos!E30</f>
        <v>338170.94229520706</v>
      </c>
      <c r="O7" s="21">
        <f>Datos!E20*Datos!E30</f>
        <v>338170.94229520706</v>
      </c>
      <c r="P7" s="21">
        <f>Datos!E20*Datos!E30</f>
        <v>338170.94229520706</v>
      </c>
      <c r="Q7" s="21">
        <f>Datos!E20*Datos!E30</f>
        <v>338170.94229520706</v>
      </c>
      <c r="R7" s="21">
        <f>Datos!F20*Datos!F30</f>
        <v>351875.64988562546</v>
      </c>
      <c r="S7" s="21">
        <f>Datos!G20*Datos!G30</f>
        <v>366135.75413095485</v>
      </c>
      <c r="T7" s="21">
        <f>Datos!H20*Datos!H30</f>
        <v>380973.7630228654</v>
      </c>
      <c r="U7" s="21">
        <f>Datos!I20*Datos!I30</f>
        <v>396413.09671136405</v>
      </c>
    </row>
    <row r="8" spans="1:48" s="12" customFormat="1" ht="15" customHeight="1">
      <c r="A8" s="8"/>
      <c r="B8" s="17" t="s">
        <v>79</v>
      </c>
      <c r="C8" s="18" t="s">
        <v>78</v>
      </c>
      <c r="D8" s="18"/>
      <c r="E8" s="21">
        <f>Datos!E20</f>
        <v>676341.88459041412</v>
      </c>
      <c r="F8" s="21">
        <f>Datos!E20</f>
        <v>676341.88459041412</v>
      </c>
      <c r="G8" s="21">
        <f>Datos!E20</f>
        <v>676341.88459041412</v>
      </c>
      <c r="H8" s="21">
        <f>Datos!E20</f>
        <v>676341.88459041412</v>
      </c>
      <c r="I8" s="21">
        <f>Datos!E20</f>
        <v>676341.88459041412</v>
      </c>
      <c r="J8" s="21">
        <f>Datos!E20</f>
        <v>676341.88459041412</v>
      </c>
      <c r="K8" s="21">
        <f>Datos!E20</f>
        <v>676341.88459041412</v>
      </c>
      <c r="L8" s="21">
        <f>Datos!E20</f>
        <v>676341.88459041412</v>
      </c>
      <c r="M8" s="21">
        <f>Datos!E20</f>
        <v>676341.88459041412</v>
      </c>
      <c r="N8" s="19">
        <f>Datos!E20</f>
        <v>676341.88459041412</v>
      </c>
      <c r="O8" s="21">
        <f>Datos!E20</f>
        <v>676341.88459041412</v>
      </c>
      <c r="P8" s="21">
        <f>Datos!E20</f>
        <v>676341.88459041412</v>
      </c>
      <c r="Q8" s="21">
        <f>SUM(E8:P8)</f>
        <v>8116102.6150849713</v>
      </c>
      <c r="R8" s="21">
        <f>Datos!F20*12</f>
        <v>8445015.5972550102</v>
      </c>
      <c r="S8" s="21">
        <f>Datos!G20*12</f>
        <v>8787258.0991429165</v>
      </c>
      <c r="T8" s="21">
        <f>Datos!H20*12</f>
        <v>9143370.3125487696</v>
      </c>
      <c r="U8" s="21">
        <f>Datos!I20*12</f>
        <v>9513914.3210727368</v>
      </c>
    </row>
    <row r="9" spans="1:48" s="12" customFormat="1" ht="18" customHeight="1">
      <c r="A9" s="8"/>
      <c r="B9" s="85" t="s">
        <v>182</v>
      </c>
      <c r="C9" s="86"/>
      <c r="D9" s="86"/>
      <c r="E9" s="87">
        <f t="shared" ref="E9:O9" si="2">E5*E8</f>
        <v>2705367.5383616565</v>
      </c>
      <c r="F9" s="87">
        <f t="shared" si="2"/>
        <v>3381709.4229520708</v>
      </c>
      <c r="G9" s="87">
        <f t="shared" si="2"/>
        <v>4058051.3075424847</v>
      </c>
      <c r="H9" s="87">
        <f t="shared" si="2"/>
        <v>4734393.1921328986</v>
      </c>
      <c r="I9" s="87">
        <f t="shared" si="2"/>
        <v>5410735.076723313</v>
      </c>
      <c r="J9" s="87">
        <f t="shared" si="2"/>
        <v>6087076.9613137273</v>
      </c>
      <c r="K9" s="87">
        <f t="shared" si="2"/>
        <v>6763418.8459041417</v>
      </c>
      <c r="L9" s="87">
        <f t="shared" si="2"/>
        <v>7439760.7304945551</v>
      </c>
      <c r="M9" s="87">
        <f t="shared" si="2"/>
        <v>8116102.6150849694</v>
      </c>
      <c r="N9" s="87">
        <f t="shared" si="2"/>
        <v>8792444.4996753838</v>
      </c>
      <c r="O9" s="87">
        <f t="shared" si="2"/>
        <v>9468786.3842657972</v>
      </c>
      <c r="P9" s="87">
        <f>P5*P8</f>
        <v>10145128.268856212</v>
      </c>
      <c r="Q9" s="87">
        <f>SUM(E9:P9)</f>
        <v>77102974.843307212</v>
      </c>
      <c r="R9" s="87">
        <f>R5*R8</f>
        <v>146943271.39223716</v>
      </c>
      <c r="S9" s="87">
        <f>(S8*S5)</f>
        <v>177362017.4731006</v>
      </c>
      <c r="T9" s="87">
        <f>(T8*T5)</f>
        <v>214077752.2106418</v>
      </c>
      <c r="U9" s="87">
        <f>(U8*U5)</f>
        <v>258394016.06102955</v>
      </c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</row>
    <row r="10" spans="1:48" s="12" customFormat="1" ht="15" customHeight="1">
      <c r="A10" s="8"/>
      <c r="B10" s="17" t="s">
        <v>83</v>
      </c>
      <c r="C10" s="18" t="s">
        <v>186</v>
      </c>
      <c r="D10" s="18"/>
      <c r="E10" s="22">
        <f>Datos!$E$27</f>
        <v>0.1</v>
      </c>
      <c r="F10" s="22">
        <f>Datos!$E$27</f>
        <v>0.1</v>
      </c>
      <c r="G10" s="22">
        <f>Datos!$E$27</f>
        <v>0.1</v>
      </c>
      <c r="H10" s="22">
        <f>Datos!$E$27</f>
        <v>0.1</v>
      </c>
      <c r="I10" s="22">
        <f>Datos!$E$27</f>
        <v>0.1</v>
      </c>
      <c r="J10" s="22">
        <f>Datos!$E$27</f>
        <v>0.1</v>
      </c>
      <c r="K10" s="22">
        <f>Datos!$E$27</f>
        <v>0.1</v>
      </c>
      <c r="L10" s="22">
        <f>Datos!$E$27</f>
        <v>0.1</v>
      </c>
      <c r="M10" s="22">
        <f>Datos!$E$27</f>
        <v>0.1</v>
      </c>
      <c r="N10" s="22">
        <f>Datos!$E$27</f>
        <v>0.1</v>
      </c>
      <c r="O10" s="22">
        <f>Datos!$E$27</f>
        <v>0.1</v>
      </c>
      <c r="P10" s="22">
        <f>Datos!$E$27</f>
        <v>0.1</v>
      </c>
      <c r="Q10" s="22">
        <f>Datos!$E$27</f>
        <v>0.1</v>
      </c>
      <c r="R10" s="22">
        <f>Datos!F27</f>
        <v>0.1</v>
      </c>
      <c r="S10" s="22">
        <f>Datos!G27</f>
        <v>0.1</v>
      </c>
      <c r="T10" s="22">
        <f>Datos!H27</f>
        <v>0.1</v>
      </c>
      <c r="U10" s="22">
        <f>Datos!I27</f>
        <v>0.1</v>
      </c>
      <c r="V10" s="29"/>
    </row>
    <row r="11" spans="1:48" s="12" customFormat="1" ht="15" customHeight="1">
      <c r="A11" s="8"/>
      <c r="B11" s="17" t="s">
        <v>82</v>
      </c>
      <c r="C11" s="18" t="s">
        <v>166</v>
      </c>
      <c r="D11" s="18"/>
      <c r="E11" s="20">
        <f>E10*E9</f>
        <v>270536.75383616565</v>
      </c>
      <c r="F11" s="20">
        <f t="shared" ref="F11:P11" si="3">F10*F9</f>
        <v>338170.94229520712</v>
      </c>
      <c r="G11" s="20">
        <f t="shared" si="3"/>
        <v>405805.13075424847</v>
      </c>
      <c r="H11" s="20">
        <f t="shared" si="3"/>
        <v>473439.31921328988</v>
      </c>
      <c r="I11" s="20">
        <f t="shared" si="3"/>
        <v>541073.5076723313</v>
      </c>
      <c r="J11" s="20">
        <f t="shared" si="3"/>
        <v>608707.69613137271</v>
      </c>
      <c r="K11" s="20">
        <f t="shared" si="3"/>
        <v>676341.88459041424</v>
      </c>
      <c r="L11" s="20">
        <f t="shared" si="3"/>
        <v>743976.07304945553</v>
      </c>
      <c r="M11" s="20">
        <f t="shared" si="3"/>
        <v>811610.26150849694</v>
      </c>
      <c r="N11" s="20">
        <f t="shared" si="3"/>
        <v>879244.44996753847</v>
      </c>
      <c r="O11" s="20">
        <f t="shared" si="3"/>
        <v>946878.63842657977</v>
      </c>
      <c r="P11" s="20">
        <f t="shared" si="3"/>
        <v>1014512.8268856213</v>
      </c>
      <c r="Q11" s="20">
        <f>SUM(E11:P11)</f>
        <v>7710297.4843307221</v>
      </c>
      <c r="R11" s="20">
        <f t="shared" ref="R11:U11" si="4">R10*R9</f>
        <v>14694327.139223717</v>
      </c>
      <c r="S11" s="20">
        <f t="shared" si="4"/>
        <v>17736201.747310061</v>
      </c>
      <c r="T11" s="20">
        <f t="shared" si="4"/>
        <v>21407775.22106418</v>
      </c>
      <c r="U11" s="20">
        <f t="shared" si="4"/>
        <v>25839401.606102958</v>
      </c>
    </row>
    <row r="12" spans="1:48" s="12" customFormat="1" ht="18" customHeight="1">
      <c r="A12" s="8"/>
      <c r="B12" s="85" t="s">
        <v>187</v>
      </c>
      <c r="C12" s="86"/>
      <c r="D12" s="86"/>
      <c r="E12" s="87">
        <f t="shared" ref="E12:P12" si="5">E9-E11</f>
        <v>2434830.7845254908</v>
      </c>
      <c r="F12" s="87">
        <f t="shared" si="5"/>
        <v>3043538.4806568637</v>
      </c>
      <c r="G12" s="87">
        <f t="shared" si="5"/>
        <v>3652246.176788236</v>
      </c>
      <c r="H12" s="87">
        <f t="shared" si="5"/>
        <v>4260953.8729196088</v>
      </c>
      <c r="I12" s="87">
        <f t="shared" si="5"/>
        <v>4869661.5690509817</v>
      </c>
      <c r="J12" s="87">
        <f t="shared" si="5"/>
        <v>5478369.2651823545</v>
      </c>
      <c r="K12" s="87">
        <f t="shared" si="5"/>
        <v>6087076.9613137273</v>
      </c>
      <c r="L12" s="87">
        <f t="shared" si="5"/>
        <v>6695784.6574450992</v>
      </c>
      <c r="M12" s="87">
        <f t="shared" si="5"/>
        <v>7304492.353576472</v>
      </c>
      <c r="N12" s="87">
        <f t="shared" si="5"/>
        <v>7913200.0497078449</v>
      </c>
      <c r="O12" s="87">
        <f t="shared" si="5"/>
        <v>8521907.7458392177</v>
      </c>
      <c r="P12" s="87">
        <f t="shared" si="5"/>
        <v>9130615.4419705905</v>
      </c>
      <c r="Q12" s="87">
        <f>Q9-Q11</f>
        <v>69392677.358976483</v>
      </c>
      <c r="R12" s="87">
        <f>R9-R11+Q11</f>
        <v>139959241.73734415</v>
      </c>
      <c r="S12" s="87">
        <f>S9-S11+R11</f>
        <v>174320142.86501426</v>
      </c>
      <c r="T12" s="87">
        <f t="shared" ref="T12:U12" si="6">T9-T11+S11</f>
        <v>210406178.73688769</v>
      </c>
      <c r="U12" s="87">
        <f t="shared" si="6"/>
        <v>253962389.67599079</v>
      </c>
      <c r="V12" s="8"/>
      <c r="W12" s="28"/>
    </row>
    <row r="15" spans="1:48">
      <c r="Q15" s="3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B9C7-D3E5-4FC5-A532-AD238E944E02}">
  <dimension ref="B1:H19"/>
  <sheetViews>
    <sheetView showGridLines="0" zoomScale="70" zoomScaleNormal="70" workbookViewId="0">
      <selection activeCell="K14" sqref="K14"/>
    </sheetView>
  </sheetViews>
  <sheetFormatPr baseColWidth="10" defaultRowHeight="15"/>
  <cols>
    <col min="1" max="1" width="2.7109375" customWidth="1"/>
    <col min="2" max="2" width="41.7109375" bestFit="1" customWidth="1"/>
    <col min="3" max="8" width="15.7109375" customWidth="1"/>
  </cols>
  <sheetData>
    <row r="1" spans="2:8" ht="12.95" customHeight="1"/>
    <row r="2" spans="2:8">
      <c r="B2" s="76" t="s">
        <v>193</v>
      </c>
      <c r="C2" s="52">
        <v>2020</v>
      </c>
      <c r="D2" s="52">
        <v>2021</v>
      </c>
      <c r="E2" s="52">
        <v>2022</v>
      </c>
      <c r="F2" s="52">
        <v>2023</v>
      </c>
      <c r="G2" s="52">
        <v>2024</v>
      </c>
      <c r="H2" s="52">
        <v>2025</v>
      </c>
    </row>
    <row r="3" spans="2:8">
      <c r="B3" s="33" t="s">
        <v>110</v>
      </c>
      <c r="C3" s="31"/>
      <c r="D3" s="31">
        <f>Gastos!D38-Gastos!D33-Gastos!D36</f>
        <v>27286200.277793724</v>
      </c>
      <c r="E3" s="31">
        <f>Gastos!E38-Gastos!E33-Gastos!E36</f>
        <v>28389069.885504037</v>
      </c>
      <c r="F3" s="31">
        <f>Gastos!F38-Gastos!F33-Gastos!F36</f>
        <v>22318245.290226921</v>
      </c>
      <c r="G3" s="31">
        <f>Gastos!G38-Gastos!G33-Gastos!G36</f>
        <v>23159398.2422597</v>
      </c>
      <c r="H3" s="31">
        <f>Gastos!H38-Gastos!H33-Gastos!H36</f>
        <v>24004011.013646722</v>
      </c>
    </row>
    <row r="4" spans="2:8">
      <c r="B4" s="33" t="s">
        <v>138</v>
      </c>
      <c r="C4" s="31"/>
      <c r="D4" s="31">
        <f>Gastos!D50-Gastos!D42-Gastos!D43-Nómina!C51</f>
        <v>65423562.019796886</v>
      </c>
      <c r="E4" s="31">
        <f>Gastos!E50-Gastos!E42-Gastos!E43-Nómina!D51</f>
        <v>85851995.404135823</v>
      </c>
      <c r="F4" s="31">
        <f>Gastos!F50-Gastos!F42-Gastos!F43-Nómina!E51</f>
        <v>116681669.25557058</v>
      </c>
      <c r="G4" s="31">
        <f>Gastos!G50-Gastos!G42-Gastos!G43-Nómina!F51</f>
        <v>121321646.01813601</v>
      </c>
      <c r="H4" s="31">
        <f>Gastos!H50-Gastos!H42-Gastos!H43-Nómina!G51</f>
        <v>125705236.62098712</v>
      </c>
    </row>
    <row r="5" spans="2:8">
      <c r="B5" s="33" t="s">
        <v>139</v>
      </c>
      <c r="C5" s="31"/>
      <c r="D5" s="31">
        <f>Gastos!C21</f>
        <v>7684119</v>
      </c>
      <c r="E5" s="31">
        <f>Gastos!D21</f>
        <v>0</v>
      </c>
      <c r="F5" s="31">
        <f>Gastos!E21</f>
        <v>0</v>
      </c>
      <c r="G5" s="31">
        <f>Gastos!F21</f>
        <v>0</v>
      </c>
      <c r="H5" s="31">
        <f>Gastos!G21</f>
        <v>0</v>
      </c>
    </row>
    <row r="6" spans="2:8">
      <c r="B6" s="97" t="s">
        <v>201</v>
      </c>
      <c r="C6" s="98"/>
      <c r="D6" s="98">
        <f>SUM(D3:D5)</f>
        <v>100393881.29759061</v>
      </c>
      <c r="E6" s="98">
        <f>SUM(E3:E5)</f>
        <v>114241065.28963986</v>
      </c>
      <c r="F6" s="98">
        <f t="shared" ref="F6:H6" si="0">SUM(F3:F5)</f>
        <v>138999914.5457975</v>
      </c>
      <c r="G6" s="98">
        <f t="shared" si="0"/>
        <v>144481044.26039571</v>
      </c>
      <c r="H6" s="98">
        <f t="shared" si="0"/>
        <v>149709247.63463384</v>
      </c>
    </row>
    <row r="7" spans="2:8">
      <c r="B7" s="33" t="s">
        <v>110</v>
      </c>
      <c r="C7" s="31"/>
      <c r="D7" s="31">
        <f>Gastos!D33+Gastos!D36</f>
        <v>931969.46197526634</v>
      </c>
      <c r="E7" s="31">
        <f>Gastos!E33+Gastos!E36</f>
        <v>1222924.2244105283</v>
      </c>
      <c r="F7" s="31">
        <f>Gastos!F33+Gastos!F36</f>
        <v>1365324.2647867701</v>
      </c>
      <c r="G7" s="31">
        <f>Gastos!G33+Gastos!G36</f>
        <v>1532713.9938687885</v>
      </c>
      <c r="H7" s="31">
        <f>Gastos!H33+Gastos!H36</f>
        <v>1730084.6270484016</v>
      </c>
    </row>
    <row r="8" spans="2:8">
      <c r="B8" s="33" t="s">
        <v>138</v>
      </c>
      <c r="C8" s="31"/>
      <c r="D8" s="31">
        <f>Gastos!D42+Gastos!D43+Nómina!C51</f>
        <v>12782861.618758827</v>
      </c>
      <c r="E8" s="31">
        <f>Gastos!E42+Gastos!E43+Nómina!D51</f>
        <v>15538828.698949218</v>
      </c>
      <c r="F8" s="31">
        <f>Gastos!F42+Gastos!F43+Nómina!E51</f>
        <v>18755523.686810639</v>
      </c>
      <c r="G8" s="31">
        <f>Gastos!G42+Gastos!G43+Nómina!F51</f>
        <v>22638107.130320743</v>
      </c>
      <c r="H8" s="31">
        <f>Gastos!H42+Gastos!H43+Nómina!G51</f>
        <v>27324424.686913472</v>
      </c>
    </row>
    <row r="9" spans="2:8">
      <c r="B9" s="97" t="s">
        <v>140</v>
      </c>
      <c r="C9" s="98">
        <f>SUM(C7:C8)</f>
        <v>0</v>
      </c>
      <c r="D9" s="98">
        <f t="shared" ref="D9:H9" si="1">SUM(D7:D8)</f>
        <v>13714831.080734095</v>
      </c>
      <c r="E9" s="98">
        <f t="shared" si="1"/>
        <v>16761752.923359746</v>
      </c>
      <c r="F9" s="98">
        <f t="shared" si="1"/>
        <v>20120847.951597407</v>
      </c>
      <c r="G9" s="98">
        <f t="shared" si="1"/>
        <v>24170821.12418953</v>
      </c>
      <c r="H9" s="98">
        <f t="shared" si="1"/>
        <v>29054509.313961875</v>
      </c>
    </row>
    <row r="10" spans="2:8">
      <c r="B10" s="85" t="s">
        <v>34</v>
      </c>
      <c r="C10" s="102">
        <f>C6+C9</f>
        <v>0</v>
      </c>
      <c r="D10" s="102">
        <f t="shared" ref="D10:G10" si="2">D6+D9</f>
        <v>114108712.3783247</v>
      </c>
      <c r="E10" s="102">
        <f t="shared" si="2"/>
        <v>131002818.21299961</v>
      </c>
      <c r="F10" s="102">
        <f t="shared" si="2"/>
        <v>159120762.49739492</v>
      </c>
      <c r="G10" s="102">
        <f t="shared" si="2"/>
        <v>168651865.38458523</v>
      </c>
      <c r="H10" s="102">
        <f>H6+H9</f>
        <v>178763756.9485957</v>
      </c>
    </row>
    <row r="11" spans="2:8">
      <c r="B11" s="97"/>
      <c r="C11" s="98"/>
      <c r="D11" s="98"/>
      <c r="E11" s="98"/>
      <c r="F11" s="98"/>
      <c r="G11" s="98"/>
      <c r="H11" s="98"/>
    </row>
    <row r="12" spans="2:8">
      <c r="B12" s="33" t="s">
        <v>141</v>
      </c>
      <c r="C12" s="33"/>
      <c r="D12" s="105">
        <f>AVERAGE(Ventas!E5:P5)</f>
        <v>9.5</v>
      </c>
      <c r="E12" s="105">
        <f>Ventas!R5</f>
        <v>17.399999999999999</v>
      </c>
      <c r="F12" s="105">
        <f>Ventas!S5</f>
        <v>20.183999999999997</v>
      </c>
      <c r="G12" s="105">
        <f>Ventas!T5</f>
        <v>23.413439999999994</v>
      </c>
      <c r="H12" s="105">
        <f>Ventas!U5</f>
        <v>27.159590399999992</v>
      </c>
    </row>
    <row r="13" spans="2:8">
      <c r="B13" s="33" t="s">
        <v>202</v>
      </c>
      <c r="C13" s="31"/>
      <c r="D13" s="31">
        <f>D10/D12</f>
        <v>12011443.408244705</v>
      </c>
      <c r="E13" s="31">
        <f t="shared" ref="E13:H13" si="3">E10/E12</f>
        <v>7528897.5984482542</v>
      </c>
      <c r="F13" s="31">
        <f t="shared" si="3"/>
        <v>7883509.8343933281</v>
      </c>
      <c r="G13" s="31">
        <f t="shared" si="3"/>
        <v>7203207.4477131628</v>
      </c>
      <c r="H13" s="31">
        <f t="shared" si="3"/>
        <v>6581975.4390918855</v>
      </c>
    </row>
    <row r="14" spans="2:8">
      <c r="B14" s="33" t="s">
        <v>147</v>
      </c>
      <c r="C14" s="31"/>
      <c r="D14" s="31">
        <f>D9/D12</f>
        <v>1443666.4295509574</v>
      </c>
      <c r="E14" s="31">
        <f t="shared" ref="E14:H14" si="4">E9/E12</f>
        <v>963319.13352642232</v>
      </c>
      <c r="F14" s="31">
        <f t="shared" si="4"/>
        <v>996871.18269903935</v>
      </c>
      <c r="G14" s="31">
        <f t="shared" si="4"/>
        <v>1032348.13526716</v>
      </c>
      <c r="H14" s="31">
        <f t="shared" si="4"/>
        <v>1069769.7898257656</v>
      </c>
    </row>
    <row r="15" spans="2:8">
      <c r="B15" s="33" t="s">
        <v>146</v>
      </c>
      <c r="C15" s="31"/>
      <c r="D15" s="31">
        <f>Ventas!Q8</f>
        <v>8116102.6150849713</v>
      </c>
      <c r="E15" s="31">
        <f>Ventas!R8</f>
        <v>8445015.5972550102</v>
      </c>
      <c r="F15" s="31">
        <f>Ventas!S8</f>
        <v>8787258.0991429165</v>
      </c>
      <c r="G15" s="31">
        <f>Ventas!T8</f>
        <v>9143370.3125487696</v>
      </c>
      <c r="H15" s="31">
        <f>Ventas!U8</f>
        <v>9513914.3210727368</v>
      </c>
    </row>
    <row r="16" spans="2:8">
      <c r="B16" s="33" t="s">
        <v>142</v>
      </c>
      <c r="C16" s="31"/>
      <c r="D16" s="31">
        <f>D15-D14</f>
        <v>6672436.1855340134</v>
      </c>
      <c r="E16" s="31">
        <f t="shared" ref="E16:H16" si="5">E15-E14</f>
        <v>7481696.4637285881</v>
      </c>
      <c r="F16" s="31">
        <f t="shared" si="5"/>
        <v>7790386.9164438769</v>
      </c>
      <c r="G16" s="31">
        <f t="shared" si="5"/>
        <v>8111022.1772816097</v>
      </c>
      <c r="H16" s="31">
        <f t="shared" si="5"/>
        <v>8444144.5312469713</v>
      </c>
    </row>
    <row r="17" spans="2:8" s="39" customFormat="1">
      <c r="B17" s="101" t="s">
        <v>143</v>
      </c>
      <c r="D17" s="100">
        <f>INT(D6/D16)+1</f>
        <v>16</v>
      </c>
      <c r="E17" s="100">
        <f t="shared" ref="E17:H17" si="6">INT(E6/E16)+1</f>
        <v>16</v>
      </c>
      <c r="F17" s="100">
        <f t="shared" si="6"/>
        <v>18</v>
      </c>
      <c r="G17" s="100">
        <f t="shared" si="6"/>
        <v>18</v>
      </c>
      <c r="H17" s="100">
        <f t="shared" si="6"/>
        <v>18</v>
      </c>
    </row>
    <row r="18" spans="2:8">
      <c r="B18" s="85" t="s">
        <v>144</v>
      </c>
      <c r="C18" s="85"/>
      <c r="D18" s="103">
        <f>D12/D17</f>
        <v>0.59375</v>
      </c>
      <c r="E18" s="103">
        <f t="shared" ref="E18:H18" si="7">E12/E17</f>
        <v>1.0874999999999999</v>
      </c>
      <c r="F18" s="103">
        <f>F12/F17</f>
        <v>1.1213333333333333</v>
      </c>
      <c r="G18" s="103">
        <f t="shared" si="7"/>
        <v>1.3007466666666663</v>
      </c>
      <c r="H18" s="103">
        <f t="shared" si="7"/>
        <v>1.5088661333333329</v>
      </c>
    </row>
    <row r="19" spans="2:8">
      <c r="B19" s="99" t="s">
        <v>145</v>
      </c>
      <c r="C19" s="98">
        <f>(C6/360)*Datos!$D$40</f>
        <v>0</v>
      </c>
      <c r="D19" s="98">
        <f>(D6/360)*Datos!$D$40</f>
        <v>4183078.3873996087</v>
      </c>
      <c r="E19" s="98">
        <f>(E6/360)*Datos!$D$40</f>
        <v>4760044.3870683275</v>
      </c>
      <c r="F19" s="98">
        <f>(F6/360)*Datos!$D$40</f>
        <v>5791663.1060748957</v>
      </c>
      <c r="G19" s="98">
        <f>(G6/360)*Datos!$D$40</f>
        <v>6020043.5108498214</v>
      </c>
      <c r="H19" s="98">
        <f>(H6/360)*Datos!$D$40</f>
        <v>6237885.3181097433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Auxilio de transporte</vt:lpstr>
      <vt:lpstr>SMLV</vt:lpstr>
      <vt:lpstr>Inflación</vt:lpstr>
      <vt:lpstr>Datos</vt:lpstr>
      <vt:lpstr>Activos</vt:lpstr>
      <vt:lpstr>Nómina</vt:lpstr>
      <vt:lpstr>Gastos</vt:lpstr>
      <vt:lpstr>Ventas</vt:lpstr>
      <vt:lpstr>Equilibrio</vt:lpstr>
      <vt:lpstr>Flujo de efectivo</vt:lpstr>
      <vt:lpstr>P&amp;G</vt:lpstr>
      <vt:lpstr>Balance General</vt:lpstr>
      <vt:lpstr>Evaluación</vt:lpstr>
      <vt:lpstr>Prestamos</vt:lpstr>
      <vt:lpstr>'Auxilio de transporte'!ALPHA_2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Cetina</dc:creator>
  <cp:lastModifiedBy>Laura Cetina</cp:lastModifiedBy>
  <dcterms:created xsi:type="dcterms:W3CDTF">2020-03-02T03:09:47Z</dcterms:created>
  <dcterms:modified xsi:type="dcterms:W3CDTF">2020-07-01T22:05:54Z</dcterms:modified>
</cp:coreProperties>
</file>