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6815" windowHeight="7755" tabRatio="500" firstSheet="7" activeTab="8"/>
  </bookViews>
  <sheets>
    <sheet name="Punto de Fabrica" sheetId="1" r:id="rId1"/>
    <sheet name="Analisis de sensibilidad1" sheetId="13" r:id="rId2"/>
    <sheet name="Analisis de sensibilidad 2" sheetId="14" r:id="rId3"/>
    <sheet name="Analisis de sensibilidad 3" sheetId="15" r:id="rId4"/>
    <sheet name="Infraestructura" sheetId="7" r:id="rId5"/>
    <sheet name="Costos Administrativos" sheetId="8" r:id="rId6"/>
    <sheet name="Costos de produccion" sheetId="6" r:id="rId7"/>
    <sheet name="Capital de trabajo" sheetId="9" r:id="rId8"/>
    <sheet name="Estimacion mercado objetivo" sheetId="16" r:id="rId9"/>
    <sheet name="proyeccion de ingresos" sheetId="5" r:id="rId10"/>
  </sheets>
  <calcPr calcId="152511"/>
</workbook>
</file>

<file path=xl/calcChain.xml><?xml version="1.0" encoding="utf-8"?>
<calcChain xmlns="http://schemas.openxmlformats.org/spreadsheetml/2006/main">
  <c r="C18" i="16" l="1"/>
  <c r="B6" i="16" l="1"/>
  <c r="B17" i="16" s="1"/>
  <c r="B18" i="16" s="1"/>
  <c r="C19" i="16" s="1"/>
  <c r="B3" i="16"/>
  <c r="B135" i="15"/>
  <c r="G126" i="15"/>
  <c r="B125" i="15"/>
  <c r="B124" i="15"/>
  <c r="G118" i="15"/>
  <c r="G122" i="15" s="1"/>
  <c r="F118" i="15"/>
  <c r="F122" i="15" s="1"/>
  <c r="E118" i="15"/>
  <c r="E122" i="15" s="1"/>
  <c r="D118" i="15"/>
  <c r="D122" i="15" s="1"/>
  <c r="C118" i="15"/>
  <c r="C122" i="15" s="1"/>
  <c r="D117" i="15"/>
  <c r="E117" i="15" s="1"/>
  <c r="F117" i="15" s="1"/>
  <c r="G117" i="15" s="1"/>
  <c r="C117" i="15"/>
  <c r="D112" i="15"/>
  <c r="E112" i="15" s="1"/>
  <c r="F112" i="15" s="1"/>
  <c r="G112" i="15" s="1"/>
  <c r="C112" i="15"/>
  <c r="E111" i="15"/>
  <c r="F111" i="15" s="1"/>
  <c r="G111" i="15" s="1"/>
  <c r="D111" i="15"/>
  <c r="C111" i="15"/>
  <c r="C109" i="15"/>
  <c r="C114" i="15" s="1"/>
  <c r="C108" i="15"/>
  <c r="G107" i="15"/>
  <c r="F107" i="15"/>
  <c r="E107" i="15"/>
  <c r="D107" i="15"/>
  <c r="D108" i="15" s="1"/>
  <c r="C107" i="15"/>
  <c r="E106" i="15"/>
  <c r="F106" i="15" s="1"/>
  <c r="D106" i="15"/>
  <c r="D109" i="15" s="1"/>
  <c r="C106" i="15"/>
  <c r="C96" i="15"/>
  <c r="D56" i="15"/>
  <c r="D52" i="15"/>
  <c r="E52" i="15" s="1"/>
  <c r="F52" i="15" s="1"/>
  <c r="G52" i="15" s="1"/>
  <c r="H52" i="15" s="1"/>
  <c r="E51" i="15"/>
  <c r="D51" i="15"/>
  <c r="E38" i="15"/>
  <c r="D37" i="15"/>
  <c r="D36" i="15" s="1"/>
  <c r="D39" i="15" s="1"/>
  <c r="D32" i="15"/>
  <c r="D31" i="15" s="1"/>
  <c r="D27" i="15"/>
  <c r="E26" i="15"/>
  <c r="F26" i="15" s="1"/>
  <c r="F55" i="15" s="1"/>
  <c r="D26" i="15"/>
  <c r="D55" i="15" s="1"/>
  <c r="E25" i="15"/>
  <c r="E37" i="15" s="1"/>
  <c r="E36" i="15" s="1"/>
  <c r="D25" i="15"/>
  <c r="E5" i="15"/>
  <c r="F4" i="15"/>
  <c r="E4" i="15"/>
  <c r="F3" i="15"/>
  <c r="E3" i="15"/>
  <c r="G3" i="15" s="1"/>
  <c r="C3" i="15"/>
  <c r="D24" i="15" s="1"/>
  <c r="C3" i="14"/>
  <c r="B135" i="14"/>
  <c r="G126" i="14"/>
  <c r="B125" i="14"/>
  <c r="B124" i="14"/>
  <c r="G118" i="14"/>
  <c r="G122" i="14" s="1"/>
  <c r="F118" i="14"/>
  <c r="F122" i="14" s="1"/>
  <c r="E118" i="14"/>
  <c r="E122" i="14" s="1"/>
  <c r="D118" i="14"/>
  <c r="D122" i="14" s="1"/>
  <c r="C118" i="14"/>
  <c r="C122" i="14" s="1"/>
  <c r="E117" i="14"/>
  <c r="F117" i="14" s="1"/>
  <c r="G117" i="14" s="1"/>
  <c r="D117" i="14"/>
  <c r="C117" i="14"/>
  <c r="C112" i="14"/>
  <c r="D112" i="14" s="1"/>
  <c r="E112" i="14" s="1"/>
  <c r="F112" i="14" s="1"/>
  <c r="G112" i="14" s="1"/>
  <c r="C111" i="14"/>
  <c r="D111" i="14" s="1"/>
  <c r="E111" i="14" s="1"/>
  <c r="F111" i="14" s="1"/>
  <c r="G111" i="14" s="1"/>
  <c r="D110" i="14"/>
  <c r="E110" i="14" s="1"/>
  <c r="F110" i="14" s="1"/>
  <c r="G110" i="14" s="1"/>
  <c r="G107" i="14"/>
  <c r="F107" i="14"/>
  <c r="E107" i="14"/>
  <c r="D107" i="14"/>
  <c r="C107" i="14"/>
  <c r="C106" i="14"/>
  <c r="C96" i="14"/>
  <c r="D59" i="14"/>
  <c r="D54" i="14"/>
  <c r="E52" i="14"/>
  <c r="F52" i="14" s="1"/>
  <c r="G52" i="14" s="1"/>
  <c r="H52" i="14" s="1"/>
  <c r="D52" i="14"/>
  <c r="F51" i="14"/>
  <c r="E51" i="14"/>
  <c r="D51" i="14"/>
  <c r="D28" i="14"/>
  <c r="D29" i="14" s="1"/>
  <c r="D72" i="14" s="1"/>
  <c r="D27" i="14"/>
  <c r="D61" i="14" s="1"/>
  <c r="E26" i="14"/>
  <c r="E56" i="14" s="1"/>
  <c r="D26" i="14"/>
  <c r="D56" i="14" s="1"/>
  <c r="D25" i="14"/>
  <c r="D37" i="14" s="1"/>
  <c r="D36" i="14" s="1"/>
  <c r="D24" i="14"/>
  <c r="F5" i="14"/>
  <c r="E5" i="14"/>
  <c r="G5" i="14" s="1"/>
  <c r="E4" i="14"/>
  <c r="F4" i="14" s="1"/>
  <c r="E3" i="14"/>
  <c r="G3" i="14" s="1"/>
  <c r="D34" i="15" l="1"/>
  <c r="E33" i="15"/>
  <c r="F108" i="15"/>
  <c r="G106" i="15"/>
  <c r="F109" i="15"/>
  <c r="E39" i="15"/>
  <c r="F38" i="15"/>
  <c r="C115" i="15"/>
  <c r="D115" i="15" s="1"/>
  <c r="E115" i="15" s="1"/>
  <c r="F115" i="15" s="1"/>
  <c r="G115" i="15" s="1"/>
  <c r="E24" i="15"/>
  <c r="D28" i="15"/>
  <c r="D29" i="15" s="1"/>
  <c r="D72" i="15" s="1"/>
  <c r="F25" i="15"/>
  <c r="D60" i="15"/>
  <c r="E27" i="15"/>
  <c r="E56" i="15"/>
  <c r="G26" i="15"/>
  <c r="F56" i="15"/>
  <c r="E59" i="15"/>
  <c r="E54" i="15"/>
  <c r="F51" i="15"/>
  <c r="E109" i="15"/>
  <c r="E114" i="15" s="1"/>
  <c r="E108" i="15"/>
  <c r="D110" i="15"/>
  <c r="E110" i="15" s="1"/>
  <c r="F110" i="15" s="1"/>
  <c r="G110" i="15" s="1"/>
  <c r="F5" i="15"/>
  <c r="D59" i="15"/>
  <c r="D62" i="15" s="1"/>
  <c r="D54" i="15"/>
  <c r="D57" i="15" s="1"/>
  <c r="D64" i="15" s="1"/>
  <c r="D71" i="15" s="1"/>
  <c r="E55" i="15"/>
  <c r="D61" i="15"/>
  <c r="E27" i="14"/>
  <c r="F26" i="14"/>
  <c r="F56" i="14" s="1"/>
  <c r="F3" i="14"/>
  <c r="I5" i="14"/>
  <c r="H5" i="14"/>
  <c r="D32" i="14"/>
  <c r="D31" i="14" s="1"/>
  <c r="E24" i="14"/>
  <c r="E61" i="14"/>
  <c r="E60" i="14"/>
  <c r="F27" i="14"/>
  <c r="C109" i="14"/>
  <c r="C114" i="14" s="1"/>
  <c r="C108" i="14"/>
  <c r="D106" i="14"/>
  <c r="D39" i="14"/>
  <c r="E38" i="14"/>
  <c r="F55" i="14"/>
  <c r="G26" i="14"/>
  <c r="F59" i="14"/>
  <c r="F54" i="14"/>
  <c r="F57" i="14" s="1"/>
  <c r="G51" i="14"/>
  <c r="E54" i="14"/>
  <c r="D55" i="14"/>
  <c r="D57" i="14" s="1"/>
  <c r="E59" i="14"/>
  <c r="E62" i="14" s="1"/>
  <c r="D60" i="14"/>
  <c r="D62" i="14" s="1"/>
  <c r="E25" i="14"/>
  <c r="E55" i="14"/>
  <c r="E116" i="15" l="1"/>
  <c r="E119" i="15" s="1"/>
  <c r="G5" i="15"/>
  <c r="G51" i="15"/>
  <c r="F59" i="15"/>
  <c r="F54" i="15"/>
  <c r="F57" i="15" s="1"/>
  <c r="G56" i="15"/>
  <c r="G55" i="15"/>
  <c r="H26" i="15"/>
  <c r="F27" i="15"/>
  <c r="E61" i="15"/>
  <c r="E60" i="15"/>
  <c r="E62" i="15" s="1"/>
  <c r="E28" i="15"/>
  <c r="E29" i="15" s="1"/>
  <c r="E72" i="15" s="1"/>
  <c r="E32" i="15"/>
  <c r="E31" i="15" s="1"/>
  <c r="F24" i="15"/>
  <c r="C116" i="15"/>
  <c r="C119" i="15" s="1"/>
  <c r="F114" i="15"/>
  <c r="F116" i="15" s="1"/>
  <c r="F119" i="15" s="1"/>
  <c r="D42" i="15"/>
  <c r="D41" i="15" s="1"/>
  <c r="D47" i="15"/>
  <c r="D46" i="15" s="1"/>
  <c r="E120" i="15"/>
  <c r="E121" i="15"/>
  <c r="E123" i="15" s="1"/>
  <c r="F37" i="15"/>
  <c r="F36" i="15" s="1"/>
  <c r="G25" i="15"/>
  <c r="E57" i="15"/>
  <c r="D114" i="15"/>
  <c r="D116" i="15" s="1"/>
  <c r="D119" i="15" s="1"/>
  <c r="G109" i="15"/>
  <c r="G114" i="15" s="1"/>
  <c r="G116" i="15" s="1"/>
  <c r="G119" i="15" s="1"/>
  <c r="G108" i="15"/>
  <c r="D108" i="14"/>
  <c r="E106" i="14"/>
  <c r="D109" i="14"/>
  <c r="D114" i="14" s="1"/>
  <c r="F24" i="14"/>
  <c r="E28" i="14"/>
  <c r="E29" i="14" s="1"/>
  <c r="E72" i="14" s="1"/>
  <c r="E32" i="14"/>
  <c r="E31" i="14" s="1"/>
  <c r="F60" i="14"/>
  <c r="G27" i="14"/>
  <c r="F61" i="14"/>
  <c r="D34" i="14"/>
  <c r="D64" i="14"/>
  <c r="D71" i="14" s="1"/>
  <c r="E33" i="14"/>
  <c r="E57" i="14"/>
  <c r="C115" i="14"/>
  <c r="D115" i="14" s="1"/>
  <c r="E115" i="14" s="1"/>
  <c r="F115" i="14" s="1"/>
  <c r="G115" i="14" s="1"/>
  <c r="E37" i="14"/>
  <c r="E36" i="14" s="1"/>
  <c r="F25" i="14"/>
  <c r="G59" i="14"/>
  <c r="G54" i="14"/>
  <c r="H51" i="14"/>
  <c r="H26" i="14"/>
  <c r="G56" i="14"/>
  <c r="G55" i="14"/>
  <c r="F32" i="15" l="1"/>
  <c r="F31" i="15" s="1"/>
  <c r="G24" i="15"/>
  <c r="F28" i="15"/>
  <c r="F29" i="15" s="1"/>
  <c r="F72" i="15" s="1"/>
  <c r="G54" i="15"/>
  <c r="G57" i="15" s="1"/>
  <c r="H51" i="15"/>
  <c r="G59" i="15"/>
  <c r="G120" i="15"/>
  <c r="G121" i="15" s="1"/>
  <c r="G123" i="15" s="1"/>
  <c r="F39" i="15"/>
  <c r="G38" i="15"/>
  <c r="D44" i="15"/>
  <c r="E43" i="15"/>
  <c r="D65" i="15"/>
  <c r="D70" i="15" s="1"/>
  <c r="D77" i="15" s="1"/>
  <c r="E64" i="15"/>
  <c r="E71" i="15" s="1"/>
  <c r="E34" i="15"/>
  <c r="F33" i="15"/>
  <c r="F61" i="15"/>
  <c r="G27" i="15"/>
  <c r="F60" i="15"/>
  <c r="F62" i="15" s="1"/>
  <c r="G37" i="15"/>
  <c r="G36" i="15" s="1"/>
  <c r="H25" i="15"/>
  <c r="H37" i="15" s="1"/>
  <c r="H36" i="15" s="1"/>
  <c r="D120" i="15"/>
  <c r="D121" i="15" s="1"/>
  <c r="D123" i="15" s="1"/>
  <c r="H55" i="15"/>
  <c r="H56" i="15"/>
  <c r="D49" i="15"/>
  <c r="E48" i="15"/>
  <c r="F120" i="15"/>
  <c r="F121" i="15" s="1"/>
  <c r="F123" i="15" s="1"/>
  <c r="C120" i="15"/>
  <c r="C121" i="15" s="1"/>
  <c r="C123" i="15" s="1"/>
  <c r="H5" i="15"/>
  <c r="I5" i="15" s="1"/>
  <c r="F62" i="14"/>
  <c r="G57" i="14"/>
  <c r="H56" i="14"/>
  <c r="H55" i="14"/>
  <c r="C116" i="14"/>
  <c r="C119" i="14" s="1"/>
  <c r="D42" i="14"/>
  <c r="D41" i="14" s="1"/>
  <c r="D47" i="14"/>
  <c r="D46" i="14" s="1"/>
  <c r="D116" i="14"/>
  <c r="D119" i="14" s="1"/>
  <c r="G24" i="14"/>
  <c r="F28" i="14"/>
  <c r="F29" i="14" s="1"/>
  <c r="F72" i="14" s="1"/>
  <c r="F32" i="14"/>
  <c r="F31" i="14" s="1"/>
  <c r="G25" i="14"/>
  <c r="F37" i="14"/>
  <c r="F36" i="14" s="1"/>
  <c r="E64" i="14"/>
  <c r="E71" i="14" s="1"/>
  <c r="E34" i="14"/>
  <c r="F33" i="14"/>
  <c r="F106" i="14"/>
  <c r="E109" i="14"/>
  <c r="E114" i="14" s="1"/>
  <c r="E116" i="14" s="1"/>
  <c r="E119" i="14" s="1"/>
  <c r="E108" i="14"/>
  <c r="H54" i="14"/>
  <c r="H59" i="14"/>
  <c r="E39" i="14"/>
  <c r="F38" i="14"/>
  <c r="H27" i="14"/>
  <c r="G61" i="14"/>
  <c r="G60" i="14"/>
  <c r="G62" i="14" s="1"/>
  <c r="G61" i="15" l="1"/>
  <c r="G60" i="15"/>
  <c r="G62" i="15" s="1"/>
  <c r="H27" i="15"/>
  <c r="D66" i="15"/>
  <c r="D67" i="15" s="1"/>
  <c r="D73" i="15" s="1"/>
  <c r="D74" i="15" s="1"/>
  <c r="C75" i="15" s="1"/>
  <c r="B126" i="15" s="1"/>
  <c r="G39" i="15"/>
  <c r="H38" i="15"/>
  <c r="H39" i="15" s="1"/>
  <c r="H59" i="15"/>
  <c r="H54" i="15"/>
  <c r="H57" i="15" s="1"/>
  <c r="H24" i="15"/>
  <c r="G32" i="15"/>
  <c r="G31" i="15" s="1"/>
  <c r="G28" i="15"/>
  <c r="G29" i="15" s="1"/>
  <c r="G72" i="15" s="1"/>
  <c r="E47" i="15"/>
  <c r="E46" i="15" s="1"/>
  <c r="E42" i="15"/>
  <c r="E41" i="15" s="1"/>
  <c r="G33" i="15"/>
  <c r="F34" i="15"/>
  <c r="F64" i="15"/>
  <c r="F71" i="15" s="1"/>
  <c r="D120" i="14"/>
  <c r="D121" i="14" s="1"/>
  <c r="D123" i="14" s="1"/>
  <c r="E42" i="14"/>
  <c r="E41" i="14" s="1"/>
  <c r="E47" i="14"/>
  <c r="E46" i="14" s="1"/>
  <c r="D49" i="14"/>
  <c r="E48" i="14"/>
  <c r="E120" i="14"/>
  <c r="E121" i="14"/>
  <c r="E123" i="14" s="1"/>
  <c r="D44" i="14"/>
  <c r="D66" i="14" s="1"/>
  <c r="D67" i="14" s="1"/>
  <c r="D73" i="14" s="1"/>
  <c r="E43" i="14"/>
  <c r="D65" i="14"/>
  <c r="D70" i="14" s="1"/>
  <c r="D77" i="14" s="1"/>
  <c r="G37" i="14"/>
  <c r="G36" i="14" s="1"/>
  <c r="H25" i="14"/>
  <c r="H37" i="14" s="1"/>
  <c r="H36" i="14" s="1"/>
  <c r="F64" i="14"/>
  <c r="F71" i="14" s="1"/>
  <c r="F34" i="14"/>
  <c r="G33" i="14"/>
  <c r="H61" i="14"/>
  <c r="H60" i="14"/>
  <c r="H57" i="14"/>
  <c r="F109" i="14"/>
  <c r="F114" i="14" s="1"/>
  <c r="F116" i="14" s="1"/>
  <c r="F119" i="14" s="1"/>
  <c r="F108" i="14"/>
  <c r="G106" i="14"/>
  <c r="F39" i="14"/>
  <c r="G38" i="14"/>
  <c r="G28" i="14"/>
  <c r="G29" i="14" s="1"/>
  <c r="G72" i="14" s="1"/>
  <c r="G32" i="14"/>
  <c r="G31" i="14" s="1"/>
  <c r="H24" i="14"/>
  <c r="C120" i="14"/>
  <c r="C121" i="14" s="1"/>
  <c r="C123" i="14" s="1"/>
  <c r="H28" i="15" l="1"/>
  <c r="H29" i="15" s="1"/>
  <c r="H72" i="15" s="1"/>
  <c r="H32" i="15"/>
  <c r="H31" i="15" s="1"/>
  <c r="H60" i="15"/>
  <c r="H61" i="15"/>
  <c r="H62" i="15" s="1"/>
  <c r="F48" i="15"/>
  <c r="E49" i="15"/>
  <c r="F42" i="15"/>
  <c r="F41" i="15" s="1"/>
  <c r="F47" i="15"/>
  <c r="F46" i="15" s="1"/>
  <c r="B129" i="15"/>
  <c r="F43" i="15"/>
  <c r="E44" i="15"/>
  <c r="E66" i="15" s="1"/>
  <c r="E67" i="15" s="1"/>
  <c r="E73" i="15" s="1"/>
  <c r="E65" i="15"/>
  <c r="E70" i="15" s="1"/>
  <c r="H33" i="15"/>
  <c r="G64" i="15"/>
  <c r="G71" i="15" s="1"/>
  <c r="G34" i="15"/>
  <c r="H62" i="14"/>
  <c r="E49" i="14"/>
  <c r="F48" i="14"/>
  <c r="G64" i="14"/>
  <c r="G71" i="14" s="1"/>
  <c r="G34" i="14"/>
  <c r="H33" i="14"/>
  <c r="F42" i="14"/>
  <c r="F41" i="14" s="1"/>
  <c r="F47" i="14"/>
  <c r="F46" i="14" s="1"/>
  <c r="E44" i="14"/>
  <c r="F43" i="14"/>
  <c r="E65" i="14"/>
  <c r="E70" i="14" s="1"/>
  <c r="H32" i="14"/>
  <c r="H31" i="14" s="1"/>
  <c r="H28" i="14"/>
  <c r="H29" i="14" s="1"/>
  <c r="H72" i="14" s="1"/>
  <c r="G39" i="14"/>
  <c r="H38" i="14"/>
  <c r="H39" i="14" s="1"/>
  <c r="G109" i="14"/>
  <c r="G114" i="14" s="1"/>
  <c r="G116" i="14" s="1"/>
  <c r="G119" i="14" s="1"/>
  <c r="G108" i="14"/>
  <c r="F120" i="14"/>
  <c r="F121" i="14" s="1"/>
  <c r="F123" i="14" s="1"/>
  <c r="D74" i="14"/>
  <c r="C75" i="14" s="1"/>
  <c r="B126" i="14" s="1"/>
  <c r="E74" i="15" l="1"/>
  <c r="D75" i="15" s="1"/>
  <c r="C126" i="15" s="1"/>
  <c r="C129" i="15" s="1"/>
  <c r="F49" i="15"/>
  <c r="G48" i="15"/>
  <c r="B142" i="15"/>
  <c r="B139" i="15"/>
  <c r="F44" i="15"/>
  <c r="F66" i="15" s="1"/>
  <c r="F67" i="15" s="1"/>
  <c r="F73" i="15" s="1"/>
  <c r="G43" i="15"/>
  <c r="F65" i="15"/>
  <c r="F70" i="15" s="1"/>
  <c r="H64" i="15"/>
  <c r="H71" i="15" s="1"/>
  <c r="H34" i="15"/>
  <c r="G42" i="15"/>
  <c r="G41" i="15" s="1"/>
  <c r="G47" i="15"/>
  <c r="G46" i="15" s="1"/>
  <c r="C130" i="15"/>
  <c r="B129" i="14"/>
  <c r="G120" i="14"/>
  <c r="G121" i="14" s="1"/>
  <c r="G123" i="14" s="1"/>
  <c r="E66" i="14"/>
  <c r="E67" i="14" s="1"/>
  <c r="E73" i="14" s="1"/>
  <c r="E74" i="14" s="1"/>
  <c r="D75" i="14" s="1"/>
  <c r="C126" i="14" s="1"/>
  <c r="C129" i="14" s="1"/>
  <c r="G47" i="14"/>
  <c r="G46" i="14" s="1"/>
  <c r="G42" i="14"/>
  <c r="G41" i="14" s="1"/>
  <c r="F44" i="14"/>
  <c r="G43" i="14"/>
  <c r="F65" i="14"/>
  <c r="F70" i="14" s="1"/>
  <c r="H34" i="14"/>
  <c r="H64" i="14"/>
  <c r="H71" i="14" s="1"/>
  <c r="F49" i="14"/>
  <c r="G48" i="14"/>
  <c r="F74" i="15" l="1"/>
  <c r="E75" i="15" s="1"/>
  <c r="D126" i="15" s="1"/>
  <c r="D129" i="15" s="1"/>
  <c r="D130" i="15" s="1"/>
  <c r="G49" i="15"/>
  <c r="H48" i="15"/>
  <c r="C142" i="15"/>
  <c r="D142" i="15" s="1"/>
  <c r="G44" i="15"/>
  <c r="G66" i="15" s="1"/>
  <c r="G67" i="15" s="1"/>
  <c r="G73" i="15" s="1"/>
  <c r="G74" i="15" s="1"/>
  <c r="F75" i="15" s="1"/>
  <c r="E126" i="15" s="1"/>
  <c r="E129" i="15" s="1"/>
  <c r="E130" i="15" s="1"/>
  <c r="H43" i="15"/>
  <c r="G65" i="15"/>
  <c r="G70" i="15" s="1"/>
  <c r="H42" i="15"/>
  <c r="H41" i="15" s="1"/>
  <c r="H47" i="15"/>
  <c r="H46" i="15" s="1"/>
  <c r="H49" i="15" s="1"/>
  <c r="C139" i="15"/>
  <c r="H42" i="14"/>
  <c r="H41" i="14" s="1"/>
  <c r="H47" i="14"/>
  <c r="H46" i="14" s="1"/>
  <c r="G44" i="14"/>
  <c r="H43" i="14"/>
  <c r="G65" i="14"/>
  <c r="G70" i="14" s="1"/>
  <c r="H48" i="14"/>
  <c r="G49" i="14"/>
  <c r="C130" i="14"/>
  <c r="B139" i="14"/>
  <c r="B142" i="14"/>
  <c r="F66" i="14"/>
  <c r="F67" i="14" s="1"/>
  <c r="F73" i="14" s="1"/>
  <c r="F74" i="14" s="1"/>
  <c r="E75" i="14" s="1"/>
  <c r="D126" i="14" s="1"/>
  <c r="D129" i="14" s="1"/>
  <c r="D130" i="14" s="1"/>
  <c r="D139" i="15" l="1"/>
  <c r="H44" i="15"/>
  <c r="H66" i="15" s="1"/>
  <c r="H67" i="15" s="1"/>
  <c r="H73" i="15" s="1"/>
  <c r="H65" i="15"/>
  <c r="H70" i="15" s="1"/>
  <c r="E142" i="15"/>
  <c r="E139" i="15"/>
  <c r="G66" i="14"/>
  <c r="G67" i="14" s="1"/>
  <c r="G73" i="14" s="1"/>
  <c r="G74" i="14" s="1"/>
  <c r="F75" i="14" s="1"/>
  <c r="E126" i="14" s="1"/>
  <c r="E129" i="14" s="1"/>
  <c r="H49" i="14"/>
  <c r="C139" i="14"/>
  <c r="D139" i="14" s="1"/>
  <c r="C142" i="14"/>
  <c r="D142" i="14" s="1"/>
  <c r="E142" i="14" s="1"/>
  <c r="H44" i="14"/>
  <c r="H65" i="14"/>
  <c r="H70" i="14" s="1"/>
  <c r="H74" i="15" l="1"/>
  <c r="G75" i="15" s="1"/>
  <c r="F126" i="15" s="1"/>
  <c r="E139" i="14"/>
  <c r="H66" i="14"/>
  <c r="H67" i="14" s="1"/>
  <c r="H73" i="14" s="1"/>
  <c r="H74" i="14" s="1"/>
  <c r="G75" i="14" s="1"/>
  <c r="F126" i="14" s="1"/>
  <c r="E130" i="14"/>
  <c r="F129" i="15" l="1"/>
  <c r="G128" i="15"/>
  <c r="G129" i="15" s="1"/>
  <c r="G130" i="15" s="1"/>
  <c r="F129" i="14"/>
  <c r="G128" i="14"/>
  <c r="G129" i="14" s="1"/>
  <c r="G130" i="14" s="1"/>
  <c r="F130" i="15" l="1"/>
  <c r="H130" i="15" s="1"/>
  <c r="I130" i="15" s="1"/>
  <c r="B143" i="15"/>
  <c r="B144" i="15" s="1"/>
  <c r="B137" i="15"/>
  <c r="B136" i="15"/>
  <c r="B140" i="15"/>
  <c r="H129" i="15"/>
  <c r="F142" i="15"/>
  <c r="G142" i="15" s="1"/>
  <c r="F139" i="15"/>
  <c r="G139" i="15" s="1"/>
  <c r="F130" i="14"/>
  <c r="H130" i="14" s="1"/>
  <c r="I130" i="14" s="1"/>
  <c r="B143" i="14"/>
  <c r="B144" i="14" s="1"/>
  <c r="B137" i="14"/>
  <c r="F142" i="14"/>
  <c r="G142" i="14" s="1"/>
  <c r="B140" i="14"/>
  <c r="H129" i="14"/>
  <c r="F139" i="14"/>
  <c r="G139" i="14" s="1"/>
  <c r="B136" i="14"/>
  <c r="B145" i="15" l="1"/>
  <c r="B146" i="15" s="1"/>
  <c r="B145" i="14"/>
  <c r="B146" i="14" s="1"/>
  <c r="G126" i="1" l="1"/>
  <c r="B135" i="13"/>
  <c r="B125" i="13"/>
  <c r="B124" i="13"/>
  <c r="G118" i="13"/>
  <c r="G122" i="13" s="1"/>
  <c r="F118" i="13"/>
  <c r="F122" i="13" s="1"/>
  <c r="E118" i="13"/>
  <c r="E122" i="13" s="1"/>
  <c r="D118" i="13"/>
  <c r="D122" i="13" s="1"/>
  <c r="C118" i="13"/>
  <c r="C122" i="13" s="1"/>
  <c r="C117" i="13"/>
  <c r="D117" i="13" s="1"/>
  <c r="E117" i="13" s="1"/>
  <c r="F117" i="13" s="1"/>
  <c r="G117" i="13" s="1"/>
  <c r="C112" i="13"/>
  <c r="D112" i="13" s="1"/>
  <c r="E112" i="13" s="1"/>
  <c r="F112" i="13" s="1"/>
  <c r="G112" i="13" s="1"/>
  <c r="C111" i="13"/>
  <c r="D111" i="13" s="1"/>
  <c r="E111" i="13" s="1"/>
  <c r="F111" i="13" s="1"/>
  <c r="G111" i="13" s="1"/>
  <c r="C110" i="13"/>
  <c r="C109" i="13"/>
  <c r="D108" i="13"/>
  <c r="C108" i="13"/>
  <c r="G107" i="13"/>
  <c r="F107" i="13"/>
  <c r="E107" i="13"/>
  <c r="D107" i="13"/>
  <c r="C107" i="13"/>
  <c r="E106" i="13"/>
  <c r="D106" i="13"/>
  <c r="D109" i="13" s="1"/>
  <c r="C106" i="13"/>
  <c r="C96" i="13"/>
  <c r="D52" i="13"/>
  <c r="D54" i="13" s="1"/>
  <c r="F51" i="13"/>
  <c r="E51" i="13"/>
  <c r="D51" i="13"/>
  <c r="D39" i="13"/>
  <c r="D27" i="13"/>
  <c r="E27" i="13" s="1"/>
  <c r="D26" i="13"/>
  <c r="D56" i="13" s="1"/>
  <c r="D25" i="13"/>
  <c r="D37" i="13" s="1"/>
  <c r="D36" i="13" s="1"/>
  <c r="E38" i="13" s="1"/>
  <c r="D24" i="13"/>
  <c r="D32" i="13" s="1"/>
  <c r="D31" i="13" s="1"/>
  <c r="F5" i="13"/>
  <c r="E5" i="13"/>
  <c r="E4" i="13"/>
  <c r="F4" i="13" s="1"/>
  <c r="G3" i="13"/>
  <c r="F3" i="13"/>
  <c r="E3" i="13"/>
  <c r="C114" i="13" l="1"/>
  <c r="C115" i="13" s="1"/>
  <c r="D115" i="13" s="1"/>
  <c r="E115" i="13" s="1"/>
  <c r="F115" i="13" s="1"/>
  <c r="G115" i="13" s="1"/>
  <c r="E26" i="13"/>
  <c r="D34" i="13"/>
  <c r="E33" i="13"/>
  <c r="H5" i="13"/>
  <c r="E60" i="13"/>
  <c r="F27" i="13"/>
  <c r="E109" i="13"/>
  <c r="E108" i="13"/>
  <c r="E52" i="13"/>
  <c r="F52" i="13" s="1"/>
  <c r="G52" i="13" s="1"/>
  <c r="H52" i="13" s="1"/>
  <c r="D59" i="13"/>
  <c r="F106" i="13"/>
  <c r="E24" i="13"/>
  <c r="D28" i="13"/>
  <c r="D29" i="13" s="1"/>
  <c r="D72" i="13" s="1"/>
  <c r="E59" i="13"/>
  <c r="E54" i="13"/>
  <c r="E61" i="13"/>
  <c r="D110" i="13"/>
  <c r="E110" i="13" s="1"/>
  <c r="F110" i="13" s="1"/>
  <c r="G110" i="13" s="1"/>
  <c r="G5" i="13"/>
  <c r="D61" i="13"/>
  <c r="D60" i="13"/>
  <c r="F59" i="13"/>
  <c r="F54" i="13"/>
  <c r="G51" i="13"/>
  <c r="D114" i="13"/>
  <c r="D55" i="13"/>
  <c r="D57" i="13" s="1"/>
  <c r="E25" i="13"/>
  <c r="G3" i="1"/>
  <c r="C96" i="1"/>
  <c r="C106" i="1"/>
  <c r="C107" i="1"/>
  <c r="C108" i="1"/>
  <c r="C109" i="1"/>
  <c r="C110" i="1"/>
  <c r="C111" i="1"/>
  <c r="C112" i="1"/>
  <c r="D116" i="13" l="1"/>
  <c r="D119" i="13" s="1"/>
  <c r="C116" i="13"/>
  <c r="C119" i="13" s="1"/>
  <c r="E55" i="13"/>
  <c r="E57" i="13" s="1"/>
  <c r="E56" i="13"/>
  <c r="F26" i="13"/>
  <c r="F24" i="13"/>
  <c r="E28" i="13"/>
  <c r="E29" i="13" s="1"/>
  <c r="E72" i="13" s="1"/>
  <c r="E32" i="13"/>
  <c r="E31" i="13" s="1"/>
  <c r="E37" i="13"/>
  <c r="E36" i="13" s="1"/>
  <c r="F25" i="13"/>
  <c r="H51" i="13"/>
  <c r="G59" i="13"/>
  <c r="G54" i="13"/>
  <c r="E114" i="13"/>
  <c r="E116" i="13" s="1"/>
  <c r="E119" i="13" s="1"/>
  <c r="C120" i="13"/>
  <c r="C121" i="13" s="1"/>
  <c r="C123" i="13" s="1"/>
  <c r="I5" i="13"/>
  <c r="F108" i="13"/>
  <c r="G106" i="13"/>
  <c r="F109" i="13"/>
  <c r="F114" i="13" s="1"/>
  <c r="F116" i="13" s="1"/>
  <c r="F119" i="13" s="1"/>
  <c r="G27" i="13"/>
  <c r="F61" i="13"/>
  <c r="F60" i="13"/>
  <c r="D42" i="13"/>
  <c r="D41" i="13" s="1"/>
  <c r="D47" i="13"/>
  <c r="D46" i="13" s="1"/>
  <c r="D120" i="13"/>
  <c r="D121" i="13" s="1"/>
  <c r="D123" i="13" s="1"/>
  <c r="E62" i="13"/>
  <c r="D62" i="13"/>
  <c r="D64" i="13" s="1"/>
  <c r="D71" i="13" s="1"/>
  <c r="B34" i="8"/>
  <c r="B21" i="8"/>
  <c r="E9" i="8"/>
  <c r="D9" i="8"/>
  <c r="E7" i="8"/>
  <c r="E8" i="8"/>
  <c r="E6" i="8"/>
  <c r="C31" i="7"/>
  <c r="F62" i="13" l="1"/>
  <c r="G26" i="13"/>
  <c r="F55" i="13"/>
  <c r="F56" i="13"/>
  <c r="D49" i="13"/>
  <c r="E48" i="13"/>
  <c r="G61" i="13"/>
  <c r="G60" i="13"/>
  <c r="H27" i="13"/>
  <c r="E120" i="13"/>
  <c r="E121" i="13" s="1"/>
  <c r="E123" i="13" s="1"/>
  <c r="H59" i="13"/>
  <c r="H54" i="13"/>
  <c r="F120" i="13"/>
  <c r="F121" i="13" s="1"/>
  <c r="F123" i="13" s="1"/>
  <c r="G25" i="13"/>
  <c r="F37" i="13"/>
  <c r="F36" i="13" s="1"/>
  <c r="F28" i="13"/>
  <c r="F29" i="13" s="1"/>
  <c r="F72" i="13" s="1"/>
  <c r="F32" i="13"/>
  <c r="F31" i="13" s="1"/>
  <c r="G24" i="13"/>
  <c r="E64" i="13"/>
  <c r="E71" i="13" s="1"/>
  <c r="E34" i="13"/>
  <c r="F33" i="13"/>
  <c r="D44" i="13"/>
  <c r="D66" i="13" s="1"/>
  <c r="D67" i="13" s="1"/>
  <c r="D73" i="13" s="1"/>
  <c r="D74" i="13" s="1"/>
  <c r="C75" i="13" s="1"/>
  <c r="B126" i="13" s="1"/>
  <c r="E43" i="13"/>
  <c r="D65" i="13"/>
  <c r="D70" i="13" s="1"/>
  <c r="D77" i="13" s="1"/>
  <c r="G109" i="13"/>
  <c r="G114" i="13" s="1"/>
  <c r="G116" i="13" s="1"/>
  <c r="G119" i="13" s="1"/>
  <c r="G108" i="13"/>
  <c r="G62" i="13"/>
  <c r="E39" i="13"/>
  <c r="F38" i="13"/>
  <c r="C9" i="6"/>
  <c r="B9" i="6"/>
  <c r="E9" i="6"/>
  <c r="D9" i="6"/>
  <c r="F9" i="6"/>
  <c r="J20" i="5"/>
  <c r="K20" i="5"/>
  <c r="L20" i="5"/>
  <c r="M20" i="5"/>
  <c r="I20" i="5"/>
  <c r="J19" i="5"/>
  <c r="K19" i="5"/>
  <c r="L19" i="5"/>
  <c r="M19" i="5"/>
  <c r="I19" i="5"/>
  <c r="D5" i="5"/>
  <c r="D20" i="5"/>
  <c r="D19" i="5"/>
  <c r="C20" i="5"/>
  <c r="C19" i="5"/>
  <c r="C17" i="5"/>
  <c r="B20" i="5"/>
  <c r="B19" i="5"/>
  <c r="B18" i="5"/>
  <c r="B17" i="5"/>
  <c r="F57" i="13" l="1"/>
  <c r="G56" i="13"/>
  <c r="G55" i="13"/>
  <c r="G57" i="13" s="1"/>
  <c r="H26" i="13"/>
  <c r="B129" i="13"/>
  <c r="G32" i="13"/>
  <c r="G31" i="13" s="1"/>
  <c r="G28" i="13"/>
  <c r="G29" i="13" s="1"/>
  <c r="G72" i="13" s="1"/>
  <c r="H24" i="13"/>
  <c r="G37" i="13"/>
  <c r="G36" i="13" s="1"/>
  <c r="H25" i="13"/>
  <c r="H37" i="13" s="1"/>
  <c r="H36" i="13" s="1"/>
  <c r="H61" i="13"/>
  <c r="H60" i="13"/>
  <c r="H62" i="13" s="1"/>
  <c r="G120" i="13"/>
  <c r="G121" i="13" s="1"/>
  <c r="G123" i="13" s="1"/>
  <c r="F64" i="13"/>
  <c r="F71" i="13" s="1"/>
  <c r="F34" i="13"/>
  <c r="G33" i="13"/>
  <c r="F39" i="13"/>
  <c r="G38" i="13"/>
  <c r="E42" i="13"/>
  <c r="E41" i="13" s="1"/>
  <c r="E47" i="13"/>
  <c r="E46" i="13" s="1"/>
  <c r="F19" i="5"/>
  <c r="F20" i="5" s="1"/>
  <c r="H55" i="13" l="1"/>
  <c r="H56" i="13"/>
  <c r="F47" i="13"/>
  <c r="F46" i="13" s="1"/>
  <c r="F42" i="13"/>
  <c r="F41" i="13" s="1"/>
  <c r="G39" i="13"/>
  <c r="H38" i="13"/>
  <c r="H39" i="13" s="1"/>
  <c r="B139" i="13"/>
  <c r="B142" i="13"/>
  <c r="H32" i="13"/>
  <c r="H31" i="13" s="1"/>
  <c r="H28" i="13"/>
  <c r="H29" i="13" s="1"/>
  <c r="H72" i="13" s="1"/>
  <c r="F43" i="13"/>
  <c r="E44" i="13"/>
  <c r="E65" i="13"/>
  <c r="E70" i="13" s="1"/>
  <c r="G34" i="13"/>
  <c r="G64" i="13"/>
  <c r="G71" i="13" s="1"/>
  <c r="H33" i="13"/>
  <c r="E49" i="13"/>
  <c r="F48" i="13"/>
  <c r="B135" i="1"/>
  <c r="H57" i="13" l="1"/>
  <c r="H64" i="13"/>
  <c r="H71" i="13" s="1"/>
  <c r="H34" i="13"/>
  <c r="F44" i="13"/>
  <c r="F66" i="13" s="1"/>
  <c r="F67" i="13" s="1"/>
  <c r="F73" i="13" s="1"/>
  <c r="F74" i="13" s="1"/>
  <c r="E75" i="13" s="1"/>
  <c r="D126" i="13" s="1"/>
  <c r="D129" i="13" s="1"/>
  <c r="D130" i="13" s="1"/>
  <c r="G43" i="13"/>
  <c r="F65" i="13"/>
  <c r="F70" i="13" s="1"/>
  <c r="E66" i="13"/>
  <c r="E67" i="13" s="1"/>
  <c r="E73" i="13" s="1"/>
  <c r="E74" i="13" s="1"/>
  <c r="D75" i="13" s="1"/>
  <c r="C126" i="13" s="1"/>
  <c r="F49" i="13"/>
  <c r="G48" i="13"/>
  <c r="G47" i="13"/>
  <c r="G46" i="13" s="1"/>
  <c r="G42" i="13"/>
  <c r="G41" i="13" s="1"/>
  <c r="E5" i="1"/>
  <c r="F5" i="1" s="1"/>
  <c r="G5" i="1" s="1"/>
  <c r="D106" i="1"/>
  <c r="D118" i="1"/>
  <c r="D122" i="1" s="1"/>
  <c r="E118" i="1"/>
  <c r="E122" i="1" s="1"/>
  <c r="F118" i="1"/>
  <c r="G118" i="1"/>
  <c r="G122" i="1" s="1"/>
  <c r="C118" i="1"/>
  <c r="C122" i="1" s="1"/>
  <c r="C117" i="1"/>
  <c r="D117" i="1" s="1"/>
  <c r="E117" i="1" s="1"/>
  <c r="F117" i="1" s="1"/>
  <c r="G117" i="1" s="1"/>
  <c r="D112" i="1"/>
  <c r="E112" i="1" s="1"/>
  <c r="F112" i="1" s="1"/>
  <c r="G112" i="1" s="1"/>
  <c r="D111" i="1"/>
  <c r="E111" i="1" s="1"/>
  <c r="F111" i="1" s="1"/>
  <c r="G111" i="1" s="1"/>
  <c r="D26" i="1"/>
  <c r="D56" i="1" s="1"/>
  <c r="D107" i="1"/>
  <c r="E107" i="1"/>
  <c r="F107" i="1"/>
  <c r="G107" i="1"/>
  <c r="B124" i="1"/>
  <c r="B125" i="1"/>
  <c r="F122" i="1"/>
  <c r="E4" i="1"/>
  <c r="F4" i="1" s="1"/>
  <c r="E3" i="1"/>
  <c r="F3" i="1"/>
  <c r="D52" i="1"/>
  <c r="D54" i="1" s="1"/>
  <c r="D51" i="1"/>
  <c r="E51" i="1" s="1"/>
  <c r="D27" i="1"/>
  <c r="D61" i="1" s="1"/>
  <c r="D25" i="1"/>
  <c r="E25" i="1" s="1"/>
  <c r="F25" i="1" s="1"/>
  <c r="F37" i="1" s="1"/>
  <c r="F36" i="1" s="1"/>
  <c r="D24" i="1"/>
  <c r="C114" i="1"/>
  <c r="C115" i="1" s="1"/>
  <c r="G44" i="13" l="1"/>
  <c r="H43" i="13"/>
  <c r="G65" i="13"/>
  <c r="G70" i="13" s="1"/>
  <c r="H48" i="13"/>
  <c r="G49" i="13"/>
  <c r="C129" i="13"/>
  <c r="H42" i="13"/>
  <c r="H41" i="13" s="1"/>
  <c r="H47" i="13"/>
  <c r="H46" i="13" s="1"/>
  <c r="E52" i="1"/>
  <c r="F52" i="1" s="1"/>
  <c r="G52" i="1" s="1"/>
  <c r="H52" i="1" s="1"/>
  <c r="D110" i="1"/>
  <c r="E110" i="1" s="1"/>
  <c r="F110" i="1" s="1"/>
  <c r="G110" i="1" s="1"/>
  <c r="D55" i="1"/>
  <c r="D57" i="1" s="1"/>
  <c r="G25" i="1"/>
  <c r="G37" i="1" s="1"/>
  <c r="G36" i="1" s="1"/>
  <c r="H38" i="1" s="1"/>
  <c r="D37" i="1"/>
  <c r="D36" i="1" s="1"/>
  <c r="D39" i="1" s="1"/>
  <c r="G38" i="1"/>
  <c r="C116" i="1"/>
  <c r="C119" i="1" s="1"/>
  <c r="D115" i="1"/>
  <c r="E115" i="1" s="1"/>
  <c r="F115" i="1" s="1"/>
  <c r="G115" i="1" s="1"/>
  <c r="H5" i="1"/>
  <c r="I5" i="1" s="1"/>
  <c r="F51" i="1"/>
  <c r="E59" i="1"/>
  <c r="H25" i="1"/>
  <c r="E38" i="1"/>
  <c r="E54" i="1"/>
  <c r="E27" i="1"/>
  <c r="D59" i="1"/>
  <c r="D62" i="1" s="1"/>
  <c r="D60" i="1"/>
  <c r="E26" i="1"/>
  <c r="E106" i="1"/>
  <c r="D109" i="1"/>
  <c r="D114" i="1" s="1"/>
  <c r="D108" i="1"/>
  <c r="E37" i="1"/>
  <c r="E36" i="1" s="1"/>
  <c r="D32" i="1"/>
  <c r="D31" i="1" s="1"/>
  <c r="E24" i="1"/>
  <c r="D28" i="1"/>
  <c r="D29" i="1" s="1"/>
  <c r="D72" i="1" s="1"/>
  <c r="H44" i="13" l="1"/>
  <c r="H65" i="13"/>
  <c r="H70" i="13" s="1"/>
  <c r="C130" i="13"/>
  <c r="C139" i="13"/>
  <c r="D139" i="13" s="1"/>
  <c r="C142" i="13"/>
  <c r="D142" i="13" s="1"/>
  <c r="H49" i="13"/>
  <c r="G66" i="13"/>
  <c r="G67" i="13" s="1"/>
  <c r="G73" i="13" s="1"/>
  <c r="G74" i="13" s="1"/>
  <c r="F75" i="13" s="1"/>
  <c r="E126" i="13" s="1"/>
  <c r="G39" i="1"/>
  <c r="D116" i="1"/>
  <c r="D119" i="1" s="1"/>
  <c r="D34" i="1"/>
  <c r="E33" i="1"/>
  <c r="D64" i="1"/>
  <c r="D71" i="1" s="1"/>
  <c r="E39" i="1"/>
  <c r="F38" i="1"/>
  <c r="F39" i="1" s="1"/>
  <c r="E61" i="1"/>
  <c r="F27" i="1"/>
  <c r="E60" i="1"/>
  <c r="F24" i="1"/>
  <c r="E28" i="1"/>
  <c r="E29" i="1" s="1"/>
  <c r="E72" i="1" s="1"/>
  <c r="E32" i="1"/>
  <c r="E31" i="1" s="1"/>
  <c r="D120" i="1"/>
  <c r="D121" i="1" s="1"/>
  <c r="D123" i="1" s="1"/>
  <c r="G51" i="1"/>
  <c r="F59" i="1"/>
  <c r="F54" i="1"/>
  <c r="C120" i="1"/>
  <c r="C121" i="1" s="1"/>
  <c r="C123" i="1" s="1"/>
  <c r="F106" i="1"/>
  <c r="E109" i="1"/>
  <c r="E114" i="1" s="1"/>
  <c r="E116" i="1" s="1"/>
  <c r="E119" i="1" s="1"/>
  <c r="E108" i="1"/>
  <c r="H37" i="1"/>
  <c r="H36" i="1" s="1"/>
  <c r="E56" i="1"/>
  <c r="F26" i="1"/>
  <c r="E55" i="1"/>
  <c r="E129" i="13" l="1"/>
  <c r="E139" i="13" s="1"/>
  <c r="H66" i="13"/>
  <c r="H67" i="13" s="1"/>
  <c r="H73" i="13" s="1"/>
  <c r="H74" i="13" s="1"/>
  <c r="E57" i="1"/>
  <c r="E62" i="1"/>
  <c r="H39" i="1"/>
  <c r="E34" i="1"/>
  <c r="E64" i="1"/>
  <c r="E71" i="1" s="1"/>
  <c r="F33" i="1"/>
  <c r="F60" i="1"/>
  <c r="F62" i="1" s="1"/>
  <c r="G27" i="1"/>
  <c r="F61" i="1"/>
  <c r="F55" i="1"/>
  <c r="F56" i="1"/>
  <c r="F57" i="1" s="1"/>
  <c r="G26" i="1"/>
  <c r="G54" i="1"/>
  <c r="H51" i="1"/>
  <c r="G59" i="1"/>
  <c r="G106" i="1"/>
  <c r="F109" i="1"/>
  <c r="F108" i="1"/>
  <c r="E120" i="1"/>
  <c r="E121" i="1" s="1"/>
  <c r="E123" i="1" s="1"/>
  <c r="F32" i="1"/>
  <c r="F31" i="1" s="1"/>
  <c r="F28" i="1"/>
  <c r="F29" i="1" s="1"/>
  <c r="F72" i="1" s="1"/>
  <c r="G24" i="1"/>
  <c r="D47" i="1"/>
  <c r="D46" i="1" s="1"/>
  <c r="D42" i="1"/>
  <c r="D41" i="1" s="1"/>
  <c r="E130" i="13" l="1"/>
  <c r="G126" i="13"/>
  <c r="G75" i="13"/>
  <c r="F126" i="13" s="1"/>
  <c r="E142" i="13"/>
  <c r="F114" i="1"/>
  <c r="F116" i="1" s="1"/>
  <c r="F119" i="1" s="1"/>
  <c r="F120" i="1" s="1"/>
  <c r="F121" i="1" s="1"/>
  <c r="F123" i="1" s="1"/>
  <c r="E17" i="5"/>
  <c r="E19" i="5" s="1"/>
  <c r="E20" i="5" s="1"/>
  <c r="D65" i="1"/>
  <c r="D70" i="1" s="1"/>
  <c r="D77" i="1" s="1"/>
  <c r="D44" i="1"/>
  <c r="E43" i="1"/>
  <c r="G108" i="1"/>
  <c r="G109" i="1"/>
  <c r="G114" i="1" s="1"/>
  <c r="G116" i="1" s="1"/>
  <c r="G119" i="1" s="1"/>
  <c r="G120" i="1" s="1"/>
  <c r="G121" i="1" s="1"/>
  <c r="G123" i="1" s="1"/>
  <c r="H26" i="1"/>
  <c r="G55" i="1"/>
  <c r="G56" i="1"/>
  <c r="G57" i="1" s="1"/>
  <c r="G61" i="1"/>
  <c r="H27" i="1"/>
  <c r="G60" i="1"/>
  <c r="E42" i="1"/>
  <c r="E41" i="1" s="1"/>
  <c r="E47" i="1"/>
  <c r="E46" i="1" s="1"/>
  <c r="E48" i="1"/>
  <c r="D49" i="1"/>
  <c r="H24" i="1"/>
  <c r="G28" i="1"/>
  <c r="G29" i="1" s="1"/>
  <c r="G72" i="1" s="1"/>
  <c r="G32" i="1"/>
  <c r="G31" i="1" s="1"/>
  <c r="H59" i="1"/>
  <c r="H54" i="1"/>
  <c r="G33" i="1"/>
  <c r="F64" i="1"/>
  <c r="F71" i="1" s="1"/>
  <c r="F34" i="1"/>
  <c r="F129" i="13" l="1"/>
  <c r="F142" i="13" s="1"/>
  <c r="G128" i="13"/>
  <c r="G129" i="13" s="1"/>
  <c r="G130" i="13" s="1"/>
  <c r="G62" i="1"/>
  <c r="H60" i="1"/>
  <c r="H61" i="1"/>
  <c r="E44" i="1"/>
  <c r="F43" i="1"/>
  <c r="E65" i="1"/>
  <c r="E70" i="1" s="1"/>
  <c r="D66" i="1"/>
  <c r="D67" i="1" s="1"/>
  <c r="D73" i="1" s="1"/>
  <c r="D74" i="1" s="1"/>
  <c r="C75" i="1" s="1"/>
  <c r="B126" i="1" s="1"/>
  <c r="H56" i="1"/>
  <c r="H55" i="1"/>
  <c r="H33" i="1"/>
  <c r="G34" i="1"/>
  <c r="F48" i="1"/>
  <c r="E49" i="1"/>
  <c r="F42" i="1"/>
  <c r="F41" i="1" s="1"/>
  <c r="F47" i="1"/>
  <c r="F46" i="1" s="1"/>
  <c r="G48" i="1" s="1"/>
  <c r="H57" i="1"/>
  <c r="H32" i="1"/>
  <c r="H31" i="1" s="1"/>
  <c r="H28" i="1"/>
  <c r="H29" i="1" s="1"/>
  <c r="H72" i="1" s="1"/>
  <c r="G142" i="13" l="1"/>
  <c r="F130" i="13"/>
  <c r="H130" i="13" s="1"/>
  <c r="I130" i="13" s="1"/>
  <c r="B143" i="13"/>
  <c r="B144" i="13" s="1"/>
  <c r="F139" i="13"/>
  <c r="G139" i="13" s="1"/>
  <c r="B136" i="13"/>
  <c r="B137" i="13"/>
  <c r="B140" i="13"/>
  <c r="H129" i="13"/>
  <c r="G64" i="1"/>
  <c r="G71" i="1" s="1"/>
  <c r="H62" i="1"/>
  <c r="F44" i="1"/>
  <c r="E66" i="1"/>
  <c r="E67" i="1" s="1"/>
  <c r="E73" i="1" s="1"/>
  <c r="E74" i="1" s="1"/>
  <c r="D75" i="1" s="1"/>
  <c r="C126" i="1" s="1"/>
  <c r="C129" i="1" s="1"/>
  <c r="H34" i="1"/>
  <c r="B129" i="1"/>
  <c r="G42" i="1"/>
  <c r="G41" i="1" s="1"/>
  <c r="H43" i="1" s="1"/>
  <c r="G47" i="1"/>
  <c r="G46" i="1" s="1"/>
  <c r="G43" i="1"/>
  <c r="F65" i="1"/>
  <c r="F70" i="1" s="1"/>
  <c r="F49" i="1"/>
  <c r="B145" i="13" l="1"/>
  <c r="B146" i="13" s="1"/>
  <c r="G44" i="1"/>
  <c r="H64" i="1"/>
  <c r="H71" i="1" s="1"/>
  <c r="F66" i="1"/>
  <c r="F67" i="1" s="1"/>
  <c r="F73" i="1" s="1"/>
  <c r="F74" i="1"/>
  <c r="E75" i="1" s="1"/>
  <c r="D126" i="1" s="1"/>
  <c r="D129" i="1" s="1"/>
  <c r="D130" i="1" s="1"/>
  <c r="B139" i="1"/>
  <c r="C139" i="1" s="1"/>
  <c r="B142" i="1"/>
  <c r="C142" i="1" s="1"/>
  <c r="H47" i="1"/>
  <c r="H46" i="1" s="1"/>
  <c r="H42" i="1"/>
  <c r="H41" i="1" s="1"/>
  <c r="G65" i="1"/>
  <c r="G70" i="1" s="1"/>
  <c r="G49" i="1"/>
  <c r="H48" i="1"/>
  <c r="C130" i="1"/>
  <c r="G66" i="1" l="1"/>
  <c r="G67" i="1" s="1"/>
  <c r="G73" i="1" s="1"/>
  <c r="G74" i="1" s="1"/>
  <c r="F75" i="1" s="1"/>
  <c r="E126" i="1" s="1"/>
  <c r="D142" i="1"/>
  <c r="D139" i="1"/>
  <c r="H44" i="1"/>
  <c r="H65" i="1"/>
  <c r="H70" i="1" s="1"/>
  <c r="H49" i="1"/>
  <c r="E129" i="1" l="1"/>
  <c r="H66" i="1"/>
  <c r="H67" i="1" s="1"/>
  <c r="H73" i="1" s="1"/>
  <c r="H74" i="1" s="1"/>
  <c r="G75" i="1" s="1"/>
  <c r="F126" i="1" s="1"/>
  <c r="F129" i="1" s="1"/>
  <c r="F130" i="1" l="1"/>
  <c r="B143" i="1"/>
  <c r="B144" i="1" s="1"/>
  <c r="E142" i="1"/>
  <c r="F142" i="1" s="1"/>
  <c r="E139" i="1"/>
  <c r="F139" i="1" s="1"/>
  <c r="G128" i="1"/>
  <c r="G129" i="1" s="1"/>
  <c r="B136" i="1" s="1"/>
  <c r="E130" i="1"/>
  <c r="H129" i="1" l="1"/>
  <c r="B140" i="1"/>
  <c r="G139" i="1"/>
  <c r="B137" i="1"/>
  <c r="G142" i="1"/>
  <c r="G130" i="1"/>
  <c r="B145" i="1" s="1"/>
  <c r="B146" i="1" s="1"/>
  <c r="H130" i="1" l="1"/>
  <c r="I130" i="1" s="1"/>
</calcChain>
</file>

<file path=xl/comments1.xml><?xml version="1.0" encoding="utf-8"?>
<comments xmlns="http://schemas.openxmlformats.org/spreadsheetml/2006/main">
  <authors>
    <author>user</author>
  </authors>
  <commentList>
    <comment ref="B136" authorId="0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Es un criterio decisorio aceptable para determinar  la factiblidad economica del proyecto.  
Este  VPN quiere decir que  se recupera todas las inversiones netas propias realizadas, genera un retorno  igual a la tasa  minima de retorno  sobre las inversiones no amortizadas
Deja una utilidad  economica expresada en la posicion en la cual se hizo el calculo para este caso la posicion es 0</t>
        </r>
      </text>
    </comment>
    <comment ref="B137" authorId="0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para nuestro proyecto el TIR es mayor al Wacc  por lo tanto es el proyecto es recomendable </t>
        </r>
      </text>
    </comment>
  </commentList>
</comments>
</file>

<file path=xl/comments2.xml><?xml version="1.0" encoding="utf-8"?>
<comments xmlns="http://schemas.openxmlformats.org/spreadsheetml/2006/main">
  <authors>
    <author>user</author>
  </authors>
  <commentList>
    <comment ref="B136" authorId="0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Es un criterio decisorio aceptable para determinar  la factiblidad economica del proyecto.  
Este  VPN quiere decir que  se recupera todas las inversiones netas propias realizadas, genera un retorno  igual a la tasa  minima de retorno  sobre las inversiones no amortizadas
Deja una utilidad  economica expresada en la posicion en la cual se hizo el calculo para este caso la posicion es 0</t>
        </r>
      </text>
    </comment>
    <comment ref="B137" authorId="0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para nuestro proyecto el TIR es mayor al Wacc  por lo tanto es el proyecto es recomendable </t>
        </r>
      </text>
    </comment>
  </commentList>
</comments>
</file>

<file path=xl/comments3.xml><?xml version="1.0" encoding="utf-8"?>
<comments xmlns="http://schemas.openxmlformats.org/spreadsheetml/2006/main">
  <authors>
    <author>user</author>
  </authors>
  <commentList>
    <comment ref="B136" authorId="0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Es un criterio decisorio aceptable para determinar  la factiblidad economica del proyecto.  
Este  VPN quiere decir que  se recupera todas las inversiones netas propias realizadas, genera un retorno  igual a la tasa  minima de retorno  sobre las inversiones no amortizadas
Deja una utilidad  economica expresada en la posicion en la cual se hizo el calculo para este caso la posicion es 0</t>
        </r>
      </text>
    </comment>
    <comment ref="B137" authorId="0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para nuestro proyecto el TIR es mayor al Wacc  por lo tanto es el proyecto es recomendable </t>
        </r>
      </text>
    </comment>
  </commentList>
</comments>
</file>

<file path=xl/comments4.xml><?xml version="1.0" encoding="utf-8"?>
<comments xmlns="http://schemas.openxmlformats.org/spreadsheetml/2006/main">
  <authors>
    <author>user</author>
  </authors>
  <commentList>
    <comment ref="B136" authorId="0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Es un criterio decisorio aceptable para determinar  la factiblidad economica del proyecto.  
Este  VPN quiere decir que  se recupera todas las inversiones netas propias realizadas, genera un retorno  igual a la tasa  minima de retorno  sobre las inversiones no amortizadas
Deja una utilidad  economica expresada en la posicion en la cual se hizo el calculo para este caso la posicion es 0</t>
        </r>
      </text>
    </comment>
    <comment ref="B137" authorId="0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para nuestro proyecto el TIR es mayor al Wacc  por lo tanto es el proyecto es recomendable </t>
        </r>
      </text>
    </comment>
  </commentList>
</comments>
</file>

<file path=xl/sharedStrings.xml><?xml version="1.0" encoding="utf-8"?>
<sst xmlns="http://schemas.openxmlformats.org/spreadsheetml/2006/main" count="790" uniqueCount="253">
  <si>
    <t>Plazo</t>
  </si>
  <si>
    <t>Años</t>
  </si>
  <si>
    <t>Ventas P1</t>
  </si>
  <si>
    <t>Unidades</t>
  </si>
  <si>
    <t>Ventas P2</t>
  </si>
  <si>
    <t>Precio Venta P1</t>
  </si>
  <si>
    <t>Precio Venta P2</t>
  </si>
  <si>
    <t>Crecimiento Vtas</t>
  </si>
  <si>
    <t>Crecimiento Precio</t>
  </si>
  <si>
    <t>Consumo P1</t>
  </si>
  <si>
    <t>Unidades A</t>
  </si>
  <si>
    <t>Unidades B</t>
  </si>
  <si>
    <t>Consumo P2</t>
  </si>
  <si>
    <t>Costo MP A</t>
  </si>
  <si>
    <t>Costo MP B</t>
  </si>
  <si>
    <t>Costos Mano de Obra</t>
  </si>
  <si>
    <t>Precio Venta</t>
  </si>
  <si>
    <t>Costos Indirectos Fab</t>
  </si>
  <si>
    <t>Inv Materia Prima</t>
  </si>
  <si>
    <t>Días</t>
  </si>
  <si>
    <t>Inv Producto Terminado</t>
  </si>
  <si>
    <t>Cuentas por Cobrar</t>
  </si>
  <si>
    <t>Cuentas por Pagar</t>
  </si>
  <si>
    <t>Periodos</t>
  </si>
  <si>
    <t>Ventas P1 (unid)</t>
  </si>
  <si>
    <t>Ventas P2 (unid)</t>
  </si>
  <si>
    <t>Ingresos ($)</t>
  </si>
  <si>
    <t>Cuentas por Cobrar ($)</t>
  </si>
  <si>
    <t>+ Ventas</t>
  </si>
  <si>
    <t>- Inventario Inicial PT 1</t>
  </si>
  <si>
    <t>Inventario Final PT 1</t>
  </si>
  <si>
    <t>= Producción PT1</t>
  </si>
  <si>
    <t>Inventario Final PT 2</t>
  </si>
  <si>
    <t>- Inventario Inicial PT 2</t>
  </si>
  <si>
    <t>= Producción PT2</t>
  </si>
  <si>
    <t>Inventario Final MP A</t>
  </si>
  <si>
    <t>+ Consumo MP A</t>
  </si>
  <si>
    <t>- Inventario Inicial MP A</t>
  </si>
  <si>
    <t>= Compras MP A</t>
  </si>
  <si>
    <t>Inventario Final MP B</t>
  </si>
  <si>
    <t>+ Consumo MP B</t>
  </si>
  <si>
    <t>- Inventario Inicial MP B</t>
  </si>
  <si>
    <t>= Compras MP B</t>
  </si>
  <si>
    <t>Inflación</t>
  </si>
  <si>
    <t>Costo MP Prod 1</t>
  </si>
  <si>
    <t>Costo MOD Prod 1</t>
  </si>
  <si>
    <t>Costo CIF Prod 1</t>
  </si>
  <si>
    <t>Costo Unitario P1</t>
  </si>
  <si>
    <t>Costo MP Prod 2</t>
  </si>
  <si>
    <t>Costo MOD Prod 2</t>
  </si>
  <si>
    <t>Costo CIF Prod 2</t>
  </si>
  <si>
    <t>Costo Unitario P2</t>
  </si>
  <si>
    <t>Inventario PT ($)</t>
  </si>
  <si>
    <t>Inventario MP ($)</t>
  </si>
  <si>
    <t>Compras ($)</t>
  </si>
  <si>
    <t>Cuentas por Pagar ($)</t>
  </si>
  <si>
    <t>Resumen</t>
  </si>
  <si>
    <t>Req Capital Trabajo ($)</t>
  </si>
  <si>
    <t>Inversión Capital Trabajo ($)</t>
  </si>
  <si>
    <t>Ingresos</t>
  </si>
  <si>
    <t>Mes</t>
  </si>
  <si>
    <t>Dia</t>
  </si>
  <si>
    <t>PUNTO DE FABRICA Y VENTA</t>
  </si>
  <si>
    <t>Inversión Maquinaria y Equipo</t>
  </si>
  <si>
    <t>Inversión Mobiliario</t>
  </si>
  <si>
    <t>Gastos Arrendamiento</t>
  </si>
  <si>
    <t>Gastos Preoperativos</t>
  </si>
  <si>
    <t>Costo MOD</t>
  </si>
  <si>
    <t>Costos CIF</t>
  </si>
  <si>
    <t>Ventas</t>
  </si>
  <si>
    <t>Capacidad</t>
  </si>
  <si>
    <t>Clientes / Mes</t>
  </si>
  <si>
    <t>Clientes Iniciales</t>
  </si>
  <si>
    <t>Pizza</t>
  </si>
  <si>
    <t>Paquete Intensivo</t>
  </si>
  <si>
    <t>Requerimiento CT</t>
  </si>
  <si>
    <t>Días Ventas</t>
  </si>
  <si>
    <t>% Financiacion (Deuda)</t>
  </si>
  <si>
    <t>% Capital Propio</t>
  </si>
  <si>
    <t>Cuotas Semestrales Uniformes</t>
  </si>
  <si>
    <t>Tasa</t>
  </si>
  <si>
    <t>EA</t>
  </si>
  <si>
    <t>Crecimiento Clientes</t>
  </si>
  <si>
    <t>Tasa Imptos</t>
  </si>
  <si>
    <t xml:space="preserve">Horizonte </t>
  </si>
  <si>
    <t>Costo Capital Propio (Ke)</t>
  </si>
  <si>
    <t>Clientes Totales</t>
  </si>
  <si>
    <t>Capacidad Atención</t>
  </si>
  <si>
    <t>Demanda Real</t>
  </si>
  <si>
    <t>- Costo Ventas</t>
  </si>
  <si>
    <t>= Utilidad Bruta</t>
  </si>
  <si>
    <t>- Gastos Arriendo</t>
  </si>
  <si>
    <t>- Gastos de Depreciación y Amort</t>
  </si>
  <si>
    <t>= Utilidad Operativa</t>
  </si>
  <si>
    <t>- Impuestos</t>
  </si>
  <si>
    <t>= Utilidad Operativa Despues Impto (UODI)</t>
  </si>
  <si>
    <t>+ Gastos de Depreciación y Amort</t>
  </si>
  <si>
    <t>= Flujo Caja Bruto (FCB)</t>
  </si>
  <si>
    <t>- Inversiones Amortizables</t>
  </si>
  <si>
    <t>- Inversiones Depreciables</t>
  </si>
  <si>
    <t>- Inversión Capital de Trabajo</t>
  </si>
  <si>
    <t>- Inversión Lote</t>
  </si>
  <si>
    <t>+ Valor Mercado</t>
  </si>
  <si>
    <t>= Flujo Caja Libre (FCL)</t>
  </si>
  <si>
    <t>FCL Presente</t>
  </si>
  <si>
    <t>WACC</t>
  </si>
  <si>
    <t>VPN</t>
  </si>
  <si>
    <t>TIR</t>
  </si>
  <si>
    <t>INA</t>
  </si>
  <si>
    <t>TIRM</t>
  </si>
  <si>
    <t>INA Sin Costo Capital</t>
  </si>
  <si>
    <t>PP (Años)</t>
  </si>
  <si>
    <t>PP (Meses)</t>
  </si>
  <si>
    <t>PPD (Años)</t>
  </si>
  <si>
    <t>PPD (Meses)</t>
  </si>
  <si>
    <t>Precio venta P1</t>
  </si>
  <si>
    <t>Precio venta P2</t>
  </si>
  <si>
    <t>Precio P1 PIZZA</t>
  </si>
  <si>
    <t>Precio  P2 Rollos</t>
  </si>
  <si>
    <t>Cantidades P1</t>
  </si>
  <si>
    <t>Cantidades P2</t>
  </si>
  <si>
    <t>CPAM</t>
  </si>
  <si>
    <t>Metodo Flujo de caja descontado</t>
  </si>
  <si>
    <t>Metodo de proyeccion de ventas "lineal"</t>
  </si>
  <si>
    <t>o</t>
  </si>
  <si>
    <t xml:space="preserve">Pizza </t>
  </si>
  <si>
    <t>Proyeccion de ventas (Unidades)</t>
  </si>
  <si>
    <t>Periodo</t>
  </si>
  <si>
    <t>año 1</t>
  </si>
  <si>
    <t>año 2</t>
  </si>
  <si>
    <t>año 3</t>
  </si>
  <si>
    <t>año 4</t>
  </si>
  <si>
    <t>año 5</t>
  </si>
  <si>
    <t>mes 1</t>
  </si>
  <si>
    <t>mes 2</t>
  </si>
  <si>
    <t>mes 3</t>
  </si>
  <si>
    <t>mes 4</t>
  </si>
  <si>
    <t>mes 5</t>
  </si>
  <si>
    <t>mes 6</t>
  </si>
  <si>
    <t>mes 7</t>
  </si>
  <si>
    <t>mes 8</t>
  </si>
  <si>
    <t>mes 9</t>
  </si>
  <si>
    <t>mes 10</t>
  </si>
  <si>
    <t>mes 11</t>
  </si>
  <si>
    <t>mes 12</t>
  </si>
  <si>
    <t>total</t>
  </si>
  <si>
    <t>Precio</t>
  </si>
  <si>
    <t>Ventas esperadas</t>
  </si>
  <si>
    <t>Rollos de pizza</t>
  </si>
  <si>
    <t>Ventas esperadas anuales</t>
  </si>
  <si>
    <t>promedio mensual</t>
  </si>
  <si>
    <t>mensual</t>
  </si>
  <si>
    <t>Producto</t>
  </si>
  <si>
    <t>Rollo Pizza</t>
  </si>
  <si>
    <t xml:space="preserve">año 4 </t>
  </si>
  <si>
    <t>Proyeccion de ingresos por ventas (miles de pesos)</t>
  </si>
  <si>
    <t>Tabla de costos de produccion en pesos</t>
  </si>
  <si>
    <t>Año 1</t>
  </si>
  <si>
    <t>Tipo de Insumo</t>
  </si>
  <si>
    <t>Año 2</t>
  </si>
  <si>
    <t>Año 3</t>
  </si>
  <si>
    <t>Año 4</t>
  </si>
  <si>
    <t>Año 5</t>
  </si>
  <si>
    <t>Insumos</t>
  </si>
  <si>
    <t>Mano de obra directa</t>
  </si>
  <si>
    <t>Materia prima</t>
  </si>
  <si>
    <t>Otros</t>
  </si>
  <si>
    <t>Totales</t>
  </si>
  <si>
    <t>Infraestructura</t>
  </si>
  <si>
    <t>Nombre</t>
  </si>
  <si>
    <t>Precio Unidad</t>
  </si>
  <si>
    <t>Maquinaria, equipos y herramientas</t>
  </si>
  <si>
    <t>Laminadora masa 2 bandas</t>
  </si>
  <si>
    <t>Refrigerador vertical</t>
  </si>
  <si>
    <t xml:space="preserve">Mesones en acero </t>
  </si>
  <si>
    <t>Estanterias</t>
  </si>
  <si>
    <t>Escabiladeros</t>
  </si>
  <si>
    <t>Latas para horno</t>
  </si>
  <si>
    <t>Nevera 2 puertas</t>
  </si>
  <si>
    <t>Lavaplatos</t>
  </si>
  <si>
    <t>Bandejas</t>
  </si>
  <si>
    <t>Utencilios</t>
  </si>
  <si>
    <t>Horno</t>
  </si>
  <si>
    <t>Vitrina Excibidora</t>
  </si>
  <si>
    <t>Amasadora</t>
  </si>
  <si>
    <t>Caja registradora</t>
  </si>
  <si>
    <t>Nevera vertical</t>
  </si>
  <si>
    <t>Computadora portatil</t>
  </si>
  <si>
    <t>Impresora multifuncional</t>
  </si>
  <si>
    <t xml:space="preserve">hornos tres camaras a gas </t>
  </si>
  <si>
    <t>Escritorio</t>
  </si>
  <si>
    <t>Asiento de escritorio</t>
  </si>
  <si>
    <t>Remodelacion y/o adecuaciones</t>
  </si>
  <si>
    <t>adecuaciones electronicas</t>
  </si>
  <si>
    <t>(miles)</t>
  </si>
  <si>
    <t xml:space="preserve">Mesas y sillas </t>
  </si>
  <si>
    <t>Costos Administrativos</t>
  </si>
  <si>
    <t>Gastos de personal</t>
  </si>
  <si>
    <t>Auxiliar supernumerario</t>
  </si>
  <si>
    <t>contador</t>
  </si>
  <si>
    <t>Gerente</t>
  </si>
  <si>
    <t xml:space="preserve">Tipo contratacion </t>
  </si>
  <si>
    <t>Fija</t>
  </si>
  <si>
    <t>Valor mensual</t>
  </si>
  <si>
    <t>Valor anual</t>
  </si>
  <si>
    <t>Total</t>
  </si>
  <si>
    <t>Gastos de arranque</t>
  </si>
  <si>
    <t xml:space="preserve">Descripcion </t>
  </si>
  <si>
    <t>Valor (miles)</t>
  </si>
  <si>
    <t>Bomberos</t>
  </si>
  <si>
    <t>Escrituras y gastos notariales</t>
  </si>
  <si>
    <t>Invima</t>
  </si>
  <si>
    <t>Permisos y licencias</t>
  </si>
  <si>
    <t>Registro de libros de contabilidad</t>
  </si>
  <si>
    <t xml:space="preserve">Gastos anuales de administracion </t>
  </si>
  <si>
    <t>Descripcion</t>
  </si>
  <si>
    <t>Cargos por servicios bancarios</t>
  </si>
  <si>
    <t>Elementos de aseo</t>
  </si>
  <si>
    <t>Pagos por arrendamientos</t>
  </si>
  <si>
    <t>Publicidad</t>
  </si>
  <si>
    <t>seguros</t>
  </si>
  <si>
    <t>Servicios publicos</t>
  </si>
  <si>
    <t>Suministros de oficjna</t>
  </si>
  <si>
    <t>Telefonia e internet</t>
  </si>
  <si>
    <t>Capital de trabajo</t>
  </si>
  <si>
    <t>Costos de materia prima</t>
  </si>
  <si>
    <t xml:space="preserve">Costos indirectos de fabricacion </t>
  </si>
  <si>
    <t>Gasto de nomina administracion</t>
  </si>
  <si>
    <t>Gasto nomina operativa</t>
  </si>
  <si>
    <t>Gastos de administracion</t>
  </si>
  <si>
    <t>Gastosde publicidad</t>
  </si>
  <si>
    <t>Gastos de puesta en marcha</t>
  </si>
  <si>
    <t xml:space="preserve"> </t>
  </si>
  <si>
    <t>Analisis de sensibilidad con la reduccion del 5% del precio de los productos</t>
  </si>
  <si>
    <t>Analisis de sensibilidad con la reduccion del 10% de las unidades de venta</t>
  </si>
  <si>
    <t>Analisis de sensibilidad con aumento del 12% de la inflacion. de venta</t>
  </si>
  <si>
    <t>Estimacion mercado objetivo en la ciudad de Santiago de Cali</t>
  </si>
  <si>
    <t>Poblacion de la ciudad</t>
  </si>
  <si>
    <t>Personas entre 15  y 64 años</t>
  </si>
  <si>
    <t>Porcentaje de la poblacion de strato 3,4,5 y6</t>
  </si>
  <si>
    <t>Poblacion objetivo</t>
  </si>
  <si>
    <t>Inversion en comida por persona</t>
  </si>
  <si>
    <t xml:space="preserve">Participación por sector </t>
  </si>
  <si>
    <t>Hamburguesa</t>
  </si>
  <si>
    <t>Pollo</t>
  </si>
  <si>
    <t>Parrilla</t>
  </si>
  <si>
    <t>Típica</t>
  </si>
  <si>
    <t>Sándwich</t>
  </si>
  <si>
    <t>Alitas</t>
  </si>
  <si>
    <t>Consumo mensual total de la poblacion objetivo</t>
  </si>
  <si>
    <t>Ventas de pizza estimada al mes del proyecto</t>
  </si>
  <si>
    <t>Ventas de pizza estimada al mes en Cali</t>
  </si>
  <si>
    <t>Proyeccion de ingresos del proyecto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</si>
</sst>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([$$-409]* #,##0_);_([$$-409]* \(#,##0\);_([$$-409]* &quot;-&quot;_);_(@_)"/>
    <numFmt numFmtId="165" formatCode="_-[$$-409]* #,##0_ ;_-[$$-409]* \-#,##0\ ;_-[$$-409]* &quot;-&quot;_ ;_-@_ "/>
    <numFmt numFmtId="166" formatCode="_([$$-409]* #,##0.00_);_([$$-409]* \(#,##0.00\);_([$$-409]* &quot;-&quot;??_);_(@_)"/>
    <numFmt numFmtId="167" formatCode="#,##0.000_);\(#,##0.000\)"/>
  </numFmts>
  <fonts count="12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4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Calibri"/>
      <family val="2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30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5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164" fontId="7" fillId="0" borderId="0" xfId="0" applyNumberFormat="1" applyFont="1" applyAlignment="1">
      <alignment horizontal="center"/>
    </xf>
    <xf numFmtId="0" fontId="7" fillId="0" borderId="0" xfId="0" applyFont="1" applyAlignment="1">
      <alignment horizontal="center"/>
    </xf>
    <xf numFmtId="44" fontId="7" fillId="0" borderId="0" xfId="27" applyFont="1" applyAlignment="1">
      <alignment horizontal="center"/>
    </xf>
    <xf numFmtId="44" fontId="7" fillId="0" borderId="0" xfId="0" applyNumberFormat="1" applyFont="1" applyAlignment="1">
      <alignment horizontal="center"/>
    </xf>
    <xf numFmtId="0" fontId="7" fillId="0" borderId="0" xfId="0" applyFont="1"/>
    <xf numFmtId="0" fontId="7" fillId="0" borderId="9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0" xfId="0" applyFont="1" applyAlignment="1">
      <alignment horizontal="left"/>
    </xf>
    <xf numFmtId="3" fontId="7" fillId="0" borderId="0" xfId="0" applyNumberFormat="1" applyFont="1" applyAlignment="1">
      <alignment horizontal="center"/>
    </xf>
    <xf numFmtId="9" fontId="7" fillId="0" borderId="0" xfId="0" applyNumberFormat="1" applyFont="1" applyAlignment="1">
      <alignment horizontal="center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7" fillId="0" borderId="0" xfId="0" quotePrefix="1" applyFont="1" applyAlignment="1">
      <alignment horizontal="left"/>
    </xf>
    <xf numFmtId="165" fontId="7" fillId="0" borderId="0" xfId="0" applyNumberFormat="1" applyFont="1" applyAlignment="1">
      <alignment horizontal="center"/>
    </xf>
    <xf numFmtId="9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165" fontId="7" fillId="0" borderId="0" xfId="0" applyNumberFormat="1" applyFont="1" applyAlignment="1">
      <alignment horizontal="center" vertical="center"/>
    </xf>
    <xf numFmtId="44" fontId="7" fillId="0" borderId="0" xfId="27" applyFont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10" fontId="7" fillId="0" borderId="0" xfId="0" applyNumberFormat="1" applyFont="1" applyFill="1" applyAlignment="1">
      <alignment horizontal="center" vertical="center"/>
    </xf>
    <xf numFmtId="10" fontId="7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7" fillId="0" borderId="0" xfId="0" quotePrefix="1" applyFont="1"/>
    <xf numFmtId="0" fontId="8" fillId="0" borderId="0" xfId="0" quotePrefix="1" applyFont="1"/>
    <xf numFmtId="165" fontId="8" fillId="0" borderId="0" xfId="0" applyNumberFormat="1" applyFont="1" applyAlignment="1">
      <alignment horizontal="center" vertical="center"/>
    </xf>
    <xf numFmtId="0" fontId="8" fillId="0" borderId="1" xfId="0" applyFont="1" applyBorder="1"/>
    <xf numFmtId="10" fontId="8" fillId="0" borderId="2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8" fillId="0" borderId="4" xfId="0" applyFont="1" applyBorder="1"/>
    <xf numFmtId="166" fontId="8" fillId="0" borderId="0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10" fontId="8" fillId="0" borderId="0" xfId="0" applyNumberFormat="1" applyFont="1" applyBorder="1" applyAlignment="1">
      <alignment horizontal="center" vertical="center"/>
    </xf>
    <xf numFmtId="44" fontId="8" fillId="0" borderId="0" xfId="27" applyFont="1" applyBorder="1" applyAlignment="1">
      <alignment horizontal="center" vertical="center"/>
    </xf>
    <xf numFmtId="165" fontId="8" fillId="0" borderId="0" xfId="0" applyNumberFormat="1" applyFont="1" applyBorder="1" applyAlignment="1">
      <alignment horizontal="center" vertical="center"/>
    </xf>
    <xf numFmtId="165" fontId="8" fillId="0" borderId="5" xfId="0" applyNumberFormat="1" applyFont="1" applyBorder="1" applyAlignment="1">
      <alignment horizontal="center" vertical="center"/>
    </xf>
    <xf numFmtId="167" fontId="8" fillId="0" borderId="0" xfId="0" applyNumberFormat="1" applyFont="1" applyBorder="1" applyAlignment="1">
      <alignment horizontal="center" vertical="center"/>
    </xf>
    <xf numFmtId="0" fontId="8" fillId="0" borderId="6" xfId="0" applyFont="1" applyBorder="1"/>
    <xf numFmtId="167" fontId="8" fillId="0" borderId="7" xfId="0" applyNumberFormat="1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164" fontId="9" fillId="0" borderId="0" xfId="0" applyNumberFormat="1" applyFont="1" applyFill="1" applyBorder="1" applyAlignment="1">
      <alignment horizontal="center"/>
    </xf>
    <xf numFmtId="0" fontId="10" fillId="0" borderId="0" xfId="0" applyFont="1" applyAlignment="1">
      <alignment horizontal="center" vertical="center" wrapText="1"/>
    </xf>
    <xf numFmtId="9" fontId="10" fillId="0" borderId="0" xfId="0" applyNumberFormat="1" applyFont="1" applyAlignment="1">
      <alignment horizontal="center" vertical="center" wrapText="1"/>
    </xf>
    <xf numFmtId="43" fontId="10" fillId="0" borderId="0" xfId="28" applyFont="1" applyAlignment="1">
      <alignment horizontal="center" vertical="center" wrapText="1"/>
    </xf>
    <xf numFmtId="0" fontId="11" fillId="0" borderId="10" xfId="0" applyFont="1" applyBorder="1" applyAlignment="1">
      <alignment vertical="center" wrapText="1"/>
    </xf>
    <xf numFmtId="44" fontId="7" fillId="0" borderId="0" xfId="0" applyNumberFormat="1" applyFont="1"/>
    <xf numFmtId="9" fontId="7" fillId="0" borderId="0" xfId="29" applyFont="1"/>
    <xf numFmtId="10" fontId="7" fillId="0" borderId="0" xfId="29" applyNumberFormat="1" applyFont="1"/>
    <xf numFmtId="44" fontId="7" fillId="0" borderId="0" xfId="27" applyFont="1"/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center" vertical="center" wrapText="1"/>
    </xf>
    <xf numFmtId="44" fontId="10" fillId="0" borderId="0" xfId="27" applyFont="1" applyBorder="1" applyAlignment="1">
      <alignment horizontal="center" vertical="center" wrapText="1"/>
    </xf>
  </cellXfs>
  <cellStyles count="30">
    <cellStyle name="Hipervínculo" xfId="1" builtinId="8" hidden="1"/>
    <cellStyle name="Hipervínculo" xfId="3" builtinId="8" hidden="1"/>
    <cellStyle name="Hipervínculo" xfId="5" builtinId="8" hidden="1"/>
    <cellStyle name="Hipervínculo" xfId="7" builtinId="8" hidden="1"/>
    <cellStyle name="Hipervínculo" xfId="9" builtinId="8" hidden="1"/>
    <cellStyle name="Hipervínculo" xfId="11" builtinId="8" hidden="1"/>
    <cellStyle name="Hipervínculo" xfId="13" builtinId="8" hidden="1"/>
    <cellStyle name="Hipervínculo" xfId="15" builtinId="8" hidden="1"/>
    <cellStyle name="Hipervínculo" xfId="17" builtinId="8" hidden="1"/>
    <cellStyle name="Hipervínculo" xfId="19" builtinId="8" hidden="1"/>
    <cellStyle name="Hipervínculo" xfId="21" builtinId="8" hidden="1"/>
    <cellStyle name="Hipervínculo" xfId="23" builtinId="8" hidden="1"/>
    <cellStyle name="Hipervínculo" xfId="25" builtinId="8" hidden="1"/>
    <cellStyle name="Hipervínculo visitado" xfId="2" builtinId="9" hidden="1"/>
    <cellStyle name="Hipervínculo visitado" xfId="4" builtinId="9" hidden="1"/>
    <cellStyle name="Hipervínculo visitado" xfId="6" builtinId="9" hidden="1"/>
    <cellStyle name="Hipervínculo visitado" xfId="8" builtinId="9" hidden="1"/>
    <cellStyle name="Hipervínculo visitado" xfId="10" builtinId="9" hidden="1"/>
    <cellStyle name="Hipervínculo visitado" xfId="12" builtinId="9" hidden="1"/>
    <cellStyle name="Hipervínculo visitado" xfId="14" builtinId="9" hidden="1"/>
    <cellStyle name="Hipervínculo visitado" xfId="16" builtinId="9" hidden="1"/>
    <cellStyle name="Hipervínculo visitado" xfId="18" builtinId="9" hidden="1"/>
    <cellStyle name="Hipervínculo visitado" xfId="20" builtinId="9" hidden="1"/>
    <cellStyle name="Hipervínculo visitado" xfId="22" builtinId="9" hidden="1"/>
    <cellStyle name="Hipervínculo visitado" xfId="24" builtinId="9" hidden="1"/>
    <cellStyle name="Hipervínculo visitado" xfId="26" builtinId="9" hidden="1"/>
    <cellStyle name="Millares" xfId="28" builtinId="3"/>
    <cellStyle name="Moneda" xfId="27" builtinId="4"/>
    <cellStyle name="Normal" xfId="0" builtinId="0"/>
    <cellStyle name="Porcentaje" xfId="29" builtinId="5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148"/>
  <sheetViews>
    <sheetView zoomScale="50" zoomScaleNormal="50" workbookViewId="0">
      <selection activeCell="A10" sqref="A10"/>
    </sheetView>
  </sheetViews>
  <sheetFormatPr baseColWidth="10" defaultColWidth="10.875" defaultRowHeight="15.75" x14ac:dyDescent="0.25"/>
  <cols>
    <col min="1" max="1" width="45" style="2" customWidth="1"/>
    <col min="2" max="2" width="24.125" style="1" bestFit="1" customWidth="1"/>
    <col min="3" max="13" width="18.875" style="2" customWidth="1"/>
    <col min="14" max="15" width="10.875" style="2"/>
    <col min="16" max="16" width="14.625" style="2" bestFit="1" customWidth="1"/>
    <col min="17" max="18" width="13.625" style="2" bestFit="1" customWidth="1"/>
    <col min="19" max="20" width="14.625" style="2" bestFit="1" customWidth="1"/>
    <col min="21" max="16384" width="10.875" style="2"/>
  </cols>
  <sheetData>
    <row r="1" spans="1:13" x14ac:dyDescent="0.25">
      <c r="A1" s="17" t="s">
        <v>122</v>
      </c>
      <c r="B1" s="13" t="s">
        <v>62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 x14ac:dyDescent="0.25">
      <c r="A2" s="6"/>
      <c r="B2" s="13" t="s">
        <v>0</v>
      </c>
      <c r="C2" s="6">
        <v>5</v>
      </c>
      <c r="D2" s="6" t="s">
        <v>1</v>
      </c>
      <c r="E2" s="6" t="s">
        <v>60</v>
      </c>
      <c r="F2" s="6" t="s">
        <v>61</v>
      </c>
      <c r="G2" s="6"/>
      <c r="H2" s="6"/>
      <c r="I2" s="6"/>
      <c r="J2" s="6"/>
      <c r="K2" s="6"/>
      <c r="L2" s="6"/>
      <c r="M2" s="6"/>
    </row>
    <row r="3" spans="1:13" x14ac:dyDescent="0.25">
      <c r="A3" s="6"/>
      <c r="B3" s="13" t="s">
        <v>2</v>
      </c>
      <c r="C3" s="14">
        <v>36000</v>
      </c>
      <c r="D3" s="6" t="s">
        <v>3</v>
      </c>
      <c r="E3" s="6">
        <f>C3/12</f>
        <v>3000</v>
      </c>
      <c r="F3" s="6">
        <f>E3/30</f>
        <v>100</v>
      </c>
      <c r="G3" s="5">
        <f>E3*C6</f>
        <v>15000000</v>
      </c>
      <c r="H3" s="6"/>
      <c r="I3" s="6"/>
      <c r="J3" s="6"/>
      <c r="K3" s="6"/>
      <c r="L3" s="6"/>
      <c r="M3" s="6"/>
    </row>
    <row r="4" spans="1:13" x14ac:dyDescent="0.25">
      <c r="A4" s="6"/>
      <c r="B4" s="13" t="s">
        <v>4</v>
      </c>
      <c r="C4" s="14">
        <v>2000</v>
      </c>
      <c r="D4" s="6" t="s">
        <v>3</v>
      </c>
      <c r="E4" s="6">
        <f>C4/12</f>
        <v>166.66666666666666</v>
      </c>
      <c r="F4" s="6">
        <f>E4/12</f>
        <v>13.888888888888888</v>
      </c>
      <c r="G4" s="6"/>
      <c r="H4" s="6"/>
      <c r="I4" s="6"/>
      <c r="J4" s="6"/>
      <c r="K4" s="6"/>
      <c r="L4" s="6"/>
      <c r="M4" s="6"/>
    </row>
    <row r="5" spans="1:13" x14ac:dyDescent="0.25">
      <c r="A5" s="6"/>
      <c r="B5" s="13" t="s">
        <v>7</v>
      </c>
      <c r="C5" s="15">
        <v>0.05</v>
      </c>
      <c r="D5" s="15">
        <v>0.04</v>
      </c>
      <c r="E5" s="15">
        <f>AVERAGE(C5:D5)</f>
        <v>4.4999999999999998E-2</v>
      </c>
      <c r="F5" s="15">
        <f>AVERAGE(D5:E5)</f>
        <v>4.2499999999999996E-2</v>
      </c>
      <c r="G5" s="15">
        <f>AVERAGE(E5:F5)</f>
        <v>4.3749999999999997E-2</v>
      </c>
      <c r="H5" s="15">
        <f>AVERAGE(F5:G5)</f>
        <v>4.3124999999999997E-2</v>
      </c>
      <c r="I5" s="15">
        <f>AVERAGE(G5:H5)</f>
        <v>4.3437499999999997E-2</v>
      </c>
      <c r="J5" s="6"/>
      <c r="K5" s="6"/>
      <c r="L5" s="6"/>
      <c r="M5" s="6"/>
    </row>
    <row r="6" spans="1:13" x14ac:dyDescent="0.25">
      <c r="A6" s="6"/>
      <c r="B6" s="13" t="s">
        <v>5</v>
      </c>
      <c r="C6" s="5">
        <v>5000</v>
      </c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x14ac:dyDescent="0.25">
      <c r="A7" s="6"/>
      <c r="B7" s="13" t="s">
        <v>6</v>
      </c>
      <c r="C7" s="5">
        <v>8000</v>
      </c>
      <c r="D7" s="6"/>
      <c r="E7" s="6"/>
      <c r="F7" s="6"/>
      <c r="G7" s="6"/>
      <c r="H7" s="6"/>
      <c r="I7" s="6"/>
      <c r="J7" s="6"/>
      <c r="K7" s="6"/>
      <c r="L7" s="6"/>
      <c r="M7" s="6"/>
    </row>
    <row r="8" spans="1:13" x14ac:dyDescent="0.25">
      <c r="A8" s="6"/>
      <c r="B8" s="13" t="s">
        <v>8</v>
      </c>
      <c r="C8" s="15">
        <v>0.05</v>
      </c>
      <c r="D8" s="6"/>
      <c r="E8" s="6"/>
      <c r="F8" s="6"/>
      <c r="G8" s="6"/>
      <c r="H8" s="6"/>
      <c r="I8" s="6"/>
      <c r="J8" s="6"/>
      <c r="K8" s="6"/>
      <c r="L8" s="6"/>
      <c r="M8" s="6"/>
    </row>
    <row r="9" spans="1:13" x14ac:dyDescent="0.25">
      <c r="A9" s="6"/>
      <c r="B9" s="13" t="s">
        <v>9</v>
      </c>
      <c r="C9" s="6">
        <v>1</v>
      </c>
      <c r="D9" s="6" t="s">
        <v>10</v>
      </c>
      <c r="E9" s="6"/>
      <c r="F9" s="6"/>
      <c r="G9" s="6"/>
      <c r="H9" s="6"/>
      <c r="I9" s="6"/>
      <c r="J9" s="6"/>
      <c r="K9" s="6"/>
      <c r="L9" s="6"/>
      <c r="M9" s="6"/>
    </row>
    <row r="10" spans="1:13" x14ac:dyDescent="0.25">
      <c r="A10" s="6"/>
      <c r="B10" s="13"/>
      <c r="C10" s="6">
        <v>1</v>
      </c>
      <c r="D10" s="6" t="s">
        <v>11</v>
      </c>
      <c r="E10" s="6"/>
      <c r="F10" s="6"/>
      <c r="G10" s="6"/>
      <c r="H10" s="6"/>
      <c r="I10" s="6"/>
      <c r="J10" s="6"/>
      <c r="K10" s="6"/>
      <c r="L10" s="6"/>
      <c r="M10" s="6"/>
    </row>
    <row r="11" spans="1:13" x14ac:dyDescent="0.25">
      <c r="A11" s="6"/>
      <c r="B11" s="13" t="s">
        <v>12</v>
      </c>
      <c r="C11" s="6">
        <v>1</v>
      </c>
      <c r="D11" s="6" t="s">
        <v>10</v>
      </c>
      <c r="E11" s="6"/>
      <c r="F11" s="6"/>
      <c r="G11" s="6"/>
      <c r="H11" s="6"/>
      <c r="I11" s="6"/>
      <c r="J11" s="6"/>
      <c r="K11" s="6"/>
      <c r="L11" s="6"/>
      <c r="M11" s="6"/>
    </row>
    <row r="12" spans="1:13" x14ac:dyDescent="0.25">
      <c r="A12" s="6"/>
      <c r="B12" s="13"/>
      <c r="C12" s="6">
        <v>2</v>
      </c>
      <c r="D12" s="6" t="s">
        <v>11</v>
      </c>
      <c r="E12" s="6"/>
      <c r="F12" s="6"/>
      <c r="G12" s="6"/>
      <c r="H12" s="6"/>
      <c r="I12" s="6"/>
      <c r="J12" s="6"/>
      <c r="K12" s="6"/>
      <c r="L12" s="6"/>
      <c r="M12" s="6"/>
    </row>
    <row r="13" spans="1:13" x14ac:dyDescent="0.25">
      <c r="A13" s="6"/>
      <c r="B13" s="13" t="s">
        <v>13</v>
      </c>
      <c r="C13" s="5">
        <v>500</v>
      </c>
      <c r="D13" s="6"/>
      <c r="E13" s="6"/>
      <c r="F13" s="6"/>
      <c r="G13" s="6"/>
      <c r="H13" s="6"/>
      <c r="I13" s="6"/>
      <c r="J13" s="6"/>
      <c r="K13" s="6"/>
      <c r="L13" s="6"/>
      <c r="M13" s="6"/>
    </row>
    <row r="14" spans="1:13" x14ac:dyDescent="0.25">
      <c r="A14" s="6"/>
      <c r="B14" s="13" t="s">
        <v>14</v>
      </c>
      <c r="C14" s="5">
        <v>800</v>
      </c>
      <c r="D14" s="6"/>
      <c r="E14" s="6"/>
      <c r="F14" s="6"/>
      <c r="G14" s="6"/>
      <c r="H14" s="6"/>
      <c r="I14" s="6"/>
      <c r="J14" s="6"/>
      <c r="K14" s="6"/>
      <c r="L14" s="6"/>
      <c r="M14" s="6"/>
    </row>
    <row r="15" spans="1:13" x14ac:dyDescent="0.25">
      <c r="A15" s="6"/>
      <c r="B15" s="13" t="s">
        <v>15</v>
      </c>
      <c r="C15" s="15">
        <v>0.1</v>
      </c>
      <c r="D15" s="6" t="s">
        <v>16</v>
      </c>
      <c r="E15" s="6"/>
      <c r="F15" s="6"/>
      <c r="G15" s="6"/>
      <c r="H15" s="6"/>
      <c r="I15" s="6"/>
      <c r="J15" s="6"/>
      <c r="K15" s="6"/>
      <c r="L15" s="6"/>
      <c r="M15" s="6"/>
    </row>
    <row r="16" spans="1:13" x14ac:dyDescent="0.25">
      <c r="A16" s="6"/>
      <c r="B16" s="13" t="s">
        <v>17</v>
      </c>
      <c r="C16" s="15">
        <v>0.15</v>
      </c>
      <c r="D16" s="6" t="s">
        <v>16</v>
      </c>
      <c r="E16" s="6"/>
      <c r="F16" s="6"/>
      <c r="G16" s="6"/>
      <c r="H16" s="6"/>
      <c r="I16" s="6"/>
      <c r="J16" s="6"/>
      <c r="K16" s="6"/>
      <c r="L16" s="6"/>
      <c r="M16" s="6"/>
    </row>
    <row r="17" spans="1:13" x14ac:dyDescent="0.25">
      <c r="A17" s="6"/>
      <c r="B17" s="13" t="s">
        <v>18</v>
      </c>
      <c r="C17" s="6">
        <v>5</v>
      </c>
      <c r="D17" s="6" t="s">
        <v>19</v>
      </c>
      <c r="E17" s="6"/>
      <c r="F17" s="6"/>
      <c r="G17" s="6"/>
      <c r="H17" s="6"/>
      <c r="I17" s="6"/>
      <c r="J17" s="6"/>
      <c r="K17" s="6"/>
      <c r="L17" s="6"/>
      <c r="M17" s="6"/>
    </row>
    <row r="18" spans="1:13" x14ac:dyDescent="0.25">
      <c r="A18" s="6"/>
      <c r="B18" s="13" t="s">
        <v>20</v>
      </c>
      <c r="C18" s="6">
        <v>3</v>
      </c>
      <c r="D18" s="6" t="s">
        <v>19</v>
      </c>
      <c r="E18" s="6"/>
      <c r="F18" s="6"/>
      <c r="G18" s="6"/>
      <c r="H18" s="6"/>
      <c r="I18" s="6"/>
      <c r="J18" s="6"/>
      <c r="K18" s="6"/>
      <c r="L18" s="6"/>
      <c r="M18" s="6"/>
    </row>
    <row r="19" spans="1:13" x14ac:dyDescent="0.25">
      <c r="A19" s="6"/>
      <c r="B19" s="13" t="s">
        <v>21</v>
      </c>
      <c r="C19" s="6">
        <v>30</v>
      </c>
      <c r="D19" s="6" t="s">
        <v>19</v>
      </c>
      <c r="E19" s="6"/>
      <c r="F19" s="6"/>
      <c r="G19" s="6"/>
      <c r="H19" s="6"/>
      <c r="I19" s="6"/>
      <c r="J19" s="6"/>
      <c r="K19" s="6"/>
      <c r="L19" s="6"/>
      <c r="M19" s="6"/>
    </row>
    <row r="20" spans="1:13" x14ac:dyDescent="0.25">
      <c r="A20" s="6"/>
      <c r="B20" s="13" t="s">
        <v>22</v>
      </c>
      <c r="C20" s="6">
        <v>30</v>
      </c>
      <c r="D20" s="6" t="s">
        <v>19</v>
      </c>
      <c r="E20" s="6"/>
      <c r="F20" s="6"/>
      <c r="G20" s="6"/>
      <c r="H20" s="6"/>
      <c r="I20" s="6"/>
      <c r="J20" s="6"/>
      <c r="K20" s="6"/>
      <c r="L20" s="6"/>
      <c r="M20" s="6"/>
    </row>
    <row r="21" spans="1:13" x14ac:dyDescent="0.25">
      <c r="A21" s="6"/>
      <c r="B21" s="13" t="s">
        <v>43</v>
      </c>
      <c r="C21" s="15">
        <v>0.05</v>
      </c>
      <c r="D21" s="6"/>
      <c r="E21" s="5"/>
      <c r="F21" s="6"/>
      <c r="G21" s="6"/>
      <c r="H21" s="6"/>
      <c r="I21" s="6"/>
      <c r="J21" s="6"/>
      <c r="K21" s="6"/>
      <c r="L21" s="6"/>
      <c r="M21" s="6"/>
    </row>
    <row r="22" spans="1:13" x14ac:dyDescent="0.25">
      <c r="A22" s="6"/>
      <c r="B22" s="13"/>
      <c r="C22" s="6"/>
      <c r="D22" s="6" t="s">
        <v>123</v>
      </c>
      <c r="E22" s="6"/>
      <c r="F22" s="6"/>
      <c r="G22" s="6"/>
      <c r="H22" s="6"/>
      <c r="I22" s="6"/>
      <c r="J22" s="6"/>
      <c r="K22" s="6"/>
      <c r="L22" s="6"/>
      <c r="M22" s="6"/>
    </row>
    <row r="23" spans="1:13" x14ac:dyDescent="0.25">
      <c r="A23" s="6"/>
      <c r="B23" s="16" t="s">
        <v>23</v>
      </c>
      <c r="C23" s="17">
        <v>0</v>
      </c>
      <c r="D23" s="17">
        <v>1</v>
      </c>
      <c r="E23" s="17">
        <v>2</v>
      </c>
      <c r="F23" s="17">
        <v>3</v>
      </c>
      <c r="G23" s="17">
        <v>4</v>
      </c>
      <c r="H23" s="17">
        <v>5</v>
      </c>
    </row>
    <row r="24" spans="1:13" x14ac:dyDescent="0.25">
      <c r="A24" s="6"/>
      <c r="B24" s="13" t="s">
        <v>24</v>
      </c>
      <c r="C24" s="6"/>
      <c r="D24" s="14">
        <f>C3</f>
        <v>36000</v>
      </c>
      <c r="E24" s="14">
        <f t="shared" ref="E24:H25" si="0">ROUND(D24*(1+$E$5),0)</f>
        <v>37620</v>
      </c>
      <c r="F24" s="14">
        <f t="shared" si="0"/>
        <v>39313</v>
      </c>
      <c r="G24" s="14">
        <f t="shared" si="0"/>
        <v>41082</v>
      </c>
      <c r="H24" s="14">
        <f t="shared" si="0"/>
        <v>42931</v>
      </c>
    </row>
    <row r="25" spans="1:13" x14ac:dyDescent="0.25">
      <c r="A25" s="6"/>
      <c r="B25" s="13" t="s">
        <v>25</v>
      </c>
      <c r="C25" s="6"/>
      <c r="D25" s="14">
        <f>C4</f>
        <v>2000</v>
      </c>
      <c r="E25" s="14">
        <f t="shared" si="0"/>
        <v>2090</v>
      </c>
      <c r="F25" s="14">
        <f t="shared" si="0"/>
        <v>2184</v>
      </c>
      <c r="G25" s="14">
        <f t="shared" si="0"/>
        <v>2282</v>
      </c>
      <c r="H25" s="14">
        <f t="shared" si="0"/>
        <v>2385</v>
      </c>
    </row>
    <row r="26" spans="1:13" x14ac:dyDescent="0.25">
      <c r="A26" s="6"/>
      <c r="B26" s="13" t="s">
        <v>5</v>
      </c>
      <c r="C26" s="6"/>
      <c r="D26" s="5">
        <f>C6</f>
        <v>5000</v>
      </c>
      <c r="E26" s="5">
        <f t="shared" ref="E26:H27" si="1">D26*(1+$C$8)</f>
        <v>5250</v>
      </c>
      <c r="F26" s="5">
        <f t="shared" si="1"/>
        <v>5512.5</v>
      </c>
      <c r="G26" s="5">
        <f t="shared" si="1"/>
        <v>5788.125</v>
      </c>
      <c r="H26" s="5">
        <f t="shared" si="1"/>
        <v>6077.53125</v>
      </c>
    </row>
    <row r="27" spans="1:13" x14ac:dyDescent="0.25">
      <c r="A27" s="6"/>
      <c r="B27" s="13" t="s">
        <v>6</v>
      </c>
      <c r="C27" s="6"/>
      <c r="D27" s="5">
        <f>C7</f>
        <v>8000</v>
      </c>
      <c r="E27" s="5">
        <f t="shared" si="1"/>
        <v>8400</v>
      </c>
      <c r="F27" s="5">
        <f t="shared" si="1"/>
        <v>8820</v>
      </c>
      <c r="G27" s="5">
        <f t="shared" si="1"/>
        <v>9261</v>
      </c>
      <c r="H27" s="5">
        <f t="shared" si="1"/>
        <v>9724.0500000000011</v>
      </c>
    </row>
    <row r="28" spans="1:13" x14ac:dyDescent="0.25">
      <c r="A28" s="6"/>
      <c r="B28" s="13" t="s">
        <v>26</v>
      </c>
      <c r="C28" s="6"/>
      <c r="D28" s="5">
        <f>SUMPRODUCT(D24:D25,D26:D27)</f>
        <v>196000000</v>
      </c>
      <c r="E28" s="5">
        <f>SUMPRODUCT(E24:E25,E26:E27)</f>
        <v>215061000</v>
      </c>
      <c r="F28" s="5">
        <f>SUMPRODUCT(F24:F25,F26:F27)</f>
        <v>235975792.5</v>
      </c>
      <c r="G28" s="5">
        <f>SUMPRODUCT(G24:G25,G26:G27)</f>
        <v>258921353.25</v>
      </c>
      <c r="H28" s="5">
        <f>SUMPRODUCT(H24:H25,H26:H27)</f>
        <v>284106353.34375</v>
      </c>
    </row>
    <row r="29" spans="1:13" x14ac:dyDescent="0.25">
      <c r="A29" s="6"/>
      <c r="B29" s="13" t="s">
        <v>27</v>
      </c>
      <c r="C29" s="6"/>
      <c r="D29" s="5">
        <f>(D28/360)*$C$19</f>
        <v>16333333.333333336</v>
      </c>
      <c r="E29" s="5">
        <f>(E28/360)*$C$19</f>
        <v>17921750</v>
      </c>
      <c r="F29" s="5">
        <f>(F28/360)*$C$19</f>
        <v>19664649.375</v>
      </c>
      <c r="G29" s="5">
        <f>(G28/360)*$C$19</f>
        <v>21576779.4375</v>
      </c>
      <c r="H29" s="5">
        <f>(H28/360)*$C$19</f>
        <v>23675529.4453125</v>
      </c>
    </row>
    <row r="30" spans="1:13" x14ac:dyDescent="0.25">
      <c r="A30" s="6"/>
      <c r="B30" s="13"/>
      <c r="C30" s="6"/>
      <c r="D30" s="6"/>
      <c r="E30" s="6"/>
      <c r="F30" s="6"/>
      <c r="G30" s="6"/>
      <c r="H30" s="6"/>
    </row>
    <row r="31" spans="1:13" x14ac:dyDescent="0.25">
      <c r="A31" s="6"/>
      <c r="B31" s="13" t="s">
        <v>30</v>
      </c>
      <c r="C31" s="6"/>
      <c r="D31" s="6">
        <f>ROUND((D32/360)*$C$18,0)</f>
        <v>300</v>
      </c>
      <c r="E31" s="6">
        <f>ROUND((E32/360)*$C$18,0)</f>
        <v>314</v>
      </c>
      <c r="F31" s="6">
        <f>ROUND((F32/360)*$C$18,0)</f>
        <v>328</v>
      </c>
      <c r="G31" s="6">
        <f>ROUND((G32/360)*$C$18,0)</f>
        <v>342</v>
      </c>
      <c r="H31" s="6">
        <f>ROUND((H32/360)*$C$18,0)</f>
        <v>358</v>
      </c>
    </row>
    <row r="32" spans="1:13" x14ac:dyDescent="0.25">
      <c r="A32" s="6"/>
      <c r="B32" s="18" t="s">
        <v>28</v>
      </c>
      <c r="C32" s="6"/>
      <c r="D32" s="14">
        <f>D24</f>
        <v>36000</v>
      </c>
      <c r="E32" s="14">
        <f>E24</f>
        <v>37620</v>
      </c>
      <c r="F32" s="14">
        <f>F24</f>
        <v>39313</v>
      </c>
      <c r="G32" s="14">
        <f>G24</f>
        <v>41082</v>
      </c>
      <c r="H32" s="14">
        <f>H24</f>
        <v>42931</v>
      </c>
    </row>
    <row r="33" spans="1:8" x14ac:dyDescent="0.25">
      <c r="A33" s="6"/>
      <c r="B33" s="18" t="s">
        <v>29</v>
      </c>
      <c r="C33" s="6"/>
      <c r="D33" s="6">
        <v>0</v>
      </c>
      <c r="E33" s="6">
        <f>D31</f>
        <v>300</v>
      </c>
      <c r="F33" s="6">
        <f>E31</f>
        <v>314</v>
      </c>
      <c r="G33" s="6">
        <f>F31</f>
        <v>328</v>
      </c>
      <c r="H33" s="6">
        <f>G31</f>
        <v>342</v>
      </c>
    </row>
    <row r="34" spans="1:8" x14ac:dyDescent="0.25">
      <c r="A34" s="6"/>
      <c r="B34" s="18" t="s">
        <v>31</v>
      </c>
      <c r="C34" s="6"/>
      <c r="D34" s="14">
        <f>D31+D32-D33</f>
        <v>36300</v>
      </c>
      <c r="E34" s="14">
        <f>E31+E32-E33</f>
        <v>37634</v>
      </c>
      <c r="F34" s="14">
        <f>F31+F32-F33</f>
        <v>39327</v>
      </c>
      <c r="G34" s="14">
        <f>G31+G32-G33</f>
        <v>41096</v>
      </c>
      <c r="H34" s="14">
        <f>H31+H32-H33</f>
        <v>42947</v>
      </c>
    </row>
    <row r="35" spans="1:8" x14ac:dyDescent="0.25">
      <c r="A35" s="6"/>
      <c r="B35" s="13"/>
      <c r="C35" s="6"/>
      <c r="D35" s="6"/>
      <c r="E35" s="6"/>
      <c r="F35" s="6"/>
      <c r="G35" s="6"/>
      <c r="H35" s="6"/>
    </row>
    <row r="36" spans="1:8" x14ac:dyDescent="0.25">
      <c r="A36" s="6"/>
      <c r="B36" s="13" t="s">
        <v>32</v>
      </c>
      <c r="C36" s="6"/>
      <c r="D36" s="6">
        <f>ROUND((D37/360)*$C$18,0)</f>
        <v>17</v>
      </c>
      <c r="E36" s="6">
        <f>ROUND((E37/360)*$C$18,0)</f>
        <v>17</v>
      </c>
      <c r="F36" s="6">
        <f>ROUND((F37/360)*$C$18,0)</f>
        <v>18</v>
      </c>
      <c r="G36" s="6">
        <f>ROUND((G37/360)*$C$18,0)</f>
        <v>19</v>
      </c>
      <c r="H36" s="6">
        <f>ROUND((H37/360)*$C$18,0)</f>
        <v>20</v>
      </c>
    </row>
    <row r="37" spans="1:8" x14ac:dyDescent="0.25">
      <c r="A37" s="6"/>
      <c r="B37" s="18" t="s">
        <v>28</v>
      </c>
      <c r="C37" s="6"/>
      <c r="D37" s="14">
        <f>D25</f>
        <v>2000</v>
      </c>
      <c r="E37" s="14">
        <f>E25</f>
        <v>2090</v>
      </c>
      <c r="F37" s="14">
        <f>F25</f>
        <v>2184</v>
      </c>
      <c r="G37" s="14">
        <f>G25</f>
        <v>2282</v>
      </c>
      <c r="H37" s="14">
        <f>H25</f>
        <v>2385</v>
      </c>
    </row>
    <row r="38" spans="1:8" x14ac:dyDescent="0.25">
      <c r="A38" s="6"/>
      <c r="B38" s="18" t="s">
        <v>33</v>
      </c>
      <c r="C38" s="6"/>
      <c r="D38" s="6">
        <v>0</v>
      </c>
      <c r="E38" s="6">
        <f>D36</f>
        <v>17</v>
      </c>
      <c r="F38" s="6">
        <f>E36</f>
        <v>17</v>
      </c>
      <c r="G38" s="6">
        <f>F36</f>
        <v>18</v>
      </c>
      <c r="H38" s="6">
        <f>G36</f>
        <v>19</v>
      </c>
    </row>
    <row r="39" spans="1:8" x14ac:dyDescent="0.25">
      <c r="A39" s="6"/>
      <c r="B39" s="18" t="s">
        <v>34</v>
      </c>
      <c r="C39" s="6"/>
      <c r="D39" s="14">
        <f>D36+D37-D38</f>
        <v>2017</v>
      </c>
      <c r="E39" s="14">
        <f>E36+E37-E38</f>
        <v>2090</v>
      </c>
      <c r="F39" s="14">
        <f>F36+F37-F38</f>
        <v>2185</v>
      </c>
      <c r="G39" s="14">
        <f>G36+G37-G38</f>
        <v>2283</v>
      </c>
      <c r="H39" s="14">
        <f>H36+H37-H38</f>
        <v>2386</v>
      </c>
    </row>
    <row r="40" spans="1:8" x14ac:dyDescent="0.25">
      <c r="A40" s="6"/>
      <c r="B40" s="13"/>
      <c r="C40" s="6"/>
      <c r="D40" s="6"/>
      <c r="E40" s="6"/>
      <c r="F40" s="6"/>
      <c r="G40" s="6"/>
      <c r="H40" s="6"/>
    </row>
    <row r="41" spans="1:8" x14ac:dyDescent="0.25">
      <c r="A41" s="6"/>
      <c r="B41" s="13" t="s">
        <v>35</v>
      </c>
      <c r="C41" s="6"/>
      <c r="D41" s="14">
        <f>ROUND((D42/360)*$C$17,0)</f>
        <v>532</v>
      </c>
      <c r="E41" s="14">
        <f>ROUND((E42/360)*$C$17,0)</f>
        <v>552</v>
      </c>
      <c r="F41" s="14">
        <f>ROUND((F42/360)*$C$17,0)</f>
        <v>577</v>
      </c>
      <c r="G41" s="14">
        <f>ROUND((G42/360)*$C$17,0)</f>
        <v>602</v>
      </c>
      <c r="H41" s="14">
        <f>ROUND((H42/360)*$C$17,0)</f>
        <v>630</v>
      </c>
    </row>
    <row r="42" spans="1:8" x14ac:dyDescent="0.25">
      <c r="A42" s="6"/>
      <c r="B42" s="18" t="s">
        <v>36</v>
      </c>
      <c r="C42" s="6"/>
      <c r="D42" s="14">
        <f>(D34*$C$9+D39*$C$11)</f>
        <v>38317</v>
      </c>
      <c r="E42" s="14">
        <f>(E34*$C$9+E39*$C$11)</f>
        <v>39724</v>
      </c>
      <c r="F42" s="14">
        <f>(F34*$C$9+F39*$C$11)</f>
        <v>41512</v>
      </c>
      <c r="G42" s="14">
        <f>(G34*$C$9+G39*$C$11)</f>
        <v>43379</v>
      </c>
      <c r="H42" s="14">
        <f>(H34*$C$9+H39*$C$11)</f>
        <v>45333</v>
      </c>
    </row>
    <row r="43" spans="1:8" x14ac:dyDescent="0.25">
      <c r="A43" s="6"/>
      <c r="B43" s="18" t="s">
        <v>37</v>
      </c>
      <c r="C43" s="6"/>
      <c r="D43" s="6">
        <v>0</v>
      </c>
      <c r="E43" s="14">
        <f>D41</f>
        <v>532</v>
      </c>
      <c r="F43" s="14">
        <f>E41</f>
        <v>552</v>
      </c>
      <c r="G43" s="14">
        <f>F41</f>
        <v>577</v>
      </c>
      <c r="H43" s="14">
        <f>G41</f>
        <v>602</v>
      </c>
    </row>
    <row r="44" spans="1:8" x14ac:dyDescent="0.25">
      <c r="A44" s="6"/>
      <c r="B44" s="18" t="s">
        <v>38</v>
      </c>
      <c r="C44" s="6"/>
      <c r="D44" s="14">
        <f>D41+D42-D43</f>
        <v>38849</v>
      </c>
      <c r="E44" s="14">
        <f>E41+E42-E43</f>
        <v>39744</v>
      </c>
      <c r="F44" s="14">
        <f>F41+F42-F43</f>
        <v>41537</v>
      </c>
      <c r="G44" s="14">
        <f>G41+G42-G43</f>
        <v>43404</v>
      </c>
      <c r="H44" s="14">
        <f>H41+H42-H43</f>
        <v>45361</v>
      </c>
    </row>
    <row r="45" spans="1:8" x14ac:dyDescent="0.25">
      <c r="A45" s="6"/>
      <c r="B45" s="13"/>
      <c r="C45" s="6"/>
      <c r="D45" s="6"/>
      <c r="E45" s="6"/>
      <c r="F45" s="6"/>
      <c r="G45" s="6"/>
      <c r="H45" s="6"/>
    </row>
    <row r="46" spans="1:8" x14ac:dyDescent="0.25">
      <c r="A46" s="6"/>
      <c r="B46" s="13" t="s">
        <v>39</v>
      </c>
      <c r="C46" s="6"/>
      <c r="D46" s="14">
        <f>ROUND((D47/360)*$C$17,0)</f>
        <v>560</v>
      </c>
      <c r="E46" s="14">
        <f>ROUND((E47/360)*$C$17,0)</f>
        <v>581</v>
      </c>
      <c r="F46" s="14">
        <f>ROUND((F47/360)*$C$17,0)</f>
        <v>607</v>
      </c>
      <c r="G46" s="14">
        <f>ROUND((G47/360)*$C$17,0)</f>
        <v>634</v>
      </c>
      <c r="H46" s="14">
        <f>ROUND((H47/360)*$C$17,0)</f>
        <v>663</v>
      </c>
    </row>
    <row r="47" spans="1:8" x14ac:dyDescent="0.25">
      <c r="A47" s="6"/>
      <c r="B47" s="18" t="s">
        <v>40</v>
      </c>
      <c r="C47" s="6"/>
      <c r="D47" s="14">
        <f>(D34*$C$10+D39*$C$12)</f>
        <v>40334</v>
      </c>
      <c r="E47" s="14">
        <f>(E34*$C$10+E39*$C$12)</f>
        <v>41814</v>
      </c>
      <c r="F47" s="14">
        <f>(F34*$C$10+F39*$C$12)</f>
        <v>43697</v>
      </c>
      <c r="G47" s="14">
        <f>(G34*$C$10+G39*$C$12)</f>
        <v>45662</v>
      </c>
      <c r="H47" s="14">
        <f>(H34*$C$10+H39*$C$12)</f>
        <v>47719</v>
      </c>
    </row>
    <row r="48" spans="1:8" x14ac:dyDescent="0.25">
      <c r="A48" s="6"/>
      <c r="B48" s="18" t="s">
        <v>41</v>
      </c>
      <c r="C48" s="6"/>
      <c r="D48" s="6">
        <v>0</v>
      </c>
      <c r="E48" s="14">
        <f>D46</f>
        <v>560</v>
      </c>
      <c r="F48" s="14">
        <f>E46</f>
        <v>581</v>
      </c>
      <c r="G48" s="14">
        <f>F46</f>
        <v>607</v>
      </c>
      <c r="H48" s="14">
        <f>G46</f>
        <v>634</v>
      </c>
    </row>
    <row r="49" spans="1:8" x14ac:dyDescent="0.25">
      <c r="A49" s="6"/>
      <c r="B49" s="18" t="s">
        <v>42</v>
      </c>
      <c r="C49" s="6"/>
      <c r="D49" s="14">
        <f>D46+D47-D48</f>
        <v>40894</v>
      </c>
      <c r="E49" s="14">
        <f>E46+E47-E48</f>
        <v>41835</v>
      </c>
      <c r="F49" s="14">
        <f>F46+F47-F48</f>
        <v>43723</v>
      </c>
      <c r="G49" s="14">
        <f>G46+G47-G48</f>
        <v>45689</v>
      </c>
      <c r="H49" s="14">
        <f>H46+H47-H48</f>
        <v>47748</v>
      </c>
    </row>
    <row r="50" spans="1:8" x14ac:dyDescent="0.25">
      <c r="A50" s="6"/>
      <c r="B50" s="13"/>
      <c r="C50" s="6"/>
      <c r="D50" s="6"/>
      <c r="E50" s="6"/>
      <c r="F50" s="6"/>
      <c r="G50" s="6"/>
      <c r="H50" s="6"/>
    </row>
    <row r="51" spans="1:8" x14ac:dyDescent="0.25">
      <c r="A51" s="6"/>
      <c r="B51" s="13" t="s">
        <v>13</v>
      </c>
      <c r="C51" s="6"/>
      <c r="D51" s="5">
        <f>C13</f>
        <v>500</v>
      </c>
      <c r="E51" s="5">
        <f t="shared" ref="E51:H52" si="2">D51*(1+$C$21)</f>
        <v>525</v>
      </c>
      <c r="F51" s="5">
        <f t="shared" si="2"/>
        <v>551.25</v>
      </c>
      <c r="G51" s="5">
        <f t="shared" si="2"/>
        <v>578.8125</v>
      </c>
      <c r="H51" s="5">
        <f t="shared" si="2"/>
        <v>607.75312500000007</v>
      </c>
    </row>
    <row r="52" spans="1:8" x14ac:dyDescent="0.25">
      <c r="A52" s="6"/>
      <c r="B52" s="13" t="s">
        <v>14</v>
      </c>
      <c r="C52" s="6"/>
      <c r="D52" s="5">
        <f>C14</f>
        <v>800</v>
      </c>
      <c r="E52" s="5">
        <f t="shared" si="2"/>
        <v>840</v>
      </c>
      <c r="F52" s="5">
        <f t="shared" si="2"/>
        <v>882</v>
      </c>
      <c r="G52" s="5">
        <f t="shared" si="2"/>
        <v>926.1</v>
      </c>
      <c r="H52" s="5">
        <f t="shared" si="2"/>
        <v>972.40500000000009</v>
      </c>
    </row>
    <row r="53" spans="1:8" x14ac:dyDescent="0.25">
      <c r="A53" s="6"/>
      <c r="B53" s="13"/>
      <c r="C53" s="6"/>
      <c r="D53" s="6"/>
      <c r="E53" s="6"/>
      <c r="F53" s="6"/>
      <c r="G53" s="6"/>
      <c r="H53" s="6"/>
    </row>
    <row r="54" spans="1:8" x14ac:dyDescent="0.25">
      <c r="A54" s="6"/>
      <c r="B54" s="13" t="s">
        <v>44</v>
      </c>
      <c r="C54" s="6"/>
      <c r="D54" s="5">
        <f>D51*$C$9+D52*$C$10</f>
        <v>1300</v>
      </c>
      <c r="E54" s="5">
        <f>E51*$C$9+E52*$C$10</f>
        <v>1365</v>
      </c>
      <c r="F54" s="5">
        <f>F51*$C$9+F52*$C$10</f>
        <v>1433.25</v>
      </c>
      <c r="G54" s="5">
        <f>G51*$C$9+G52*$C$10</f>
        <v>1504.9124999999999</v>
      </c>
      <c r="H54" s="5">
        <f>H51*$C$9+H52*$C$10</f>
        <v>1580.1581250000002</v>
      </c>
    </row>
    <row r="55" spans="1:8" x14ac:dyDescent="0.25">
      <c r="A55" s="6"/>
      <c r="B55" s="13" t="s">
        <v>45</v>
      </c>
      <c r="C55" s="6"/>
      <c r="D55" s="5">
        <f>D26*$C$15</f>
        <v>500</v>
      </c>
      <c r="E55" s="5">
        <f>E26*$C$15</f>
        <v>525</v>
      </c>
      <c r="F55" s="5">
        <f>F26*$C$15</f>
        <v>551.25</v>
      </c>
      <c r="G55" s="5">
        <f>G26*$C$15</f>
        <v>578.8125</v>
      </c>
      <c r="H55" s="5">
        <f>H26*$C$15</f>
        <v>607.75312500000007</v>
      </c>
    </row>
    <row r="56" spans="1:8" x14ac:dyDescent="0.25">
      <c r="A56" s="6"/>
      <c r="B56" s="13" t="s">
        <v>46</v>
      </c>
      <c r="C56" s="6"/>
      <c r="D56" s="5">
        <f>D26*$C$16</f>
        <v>750</v>
      </c>
      <c r="E56" s="5">
        <f>E26*$C$16</f>
        <v>787.5</v>
      </c>
      <c r="F56" s="5">
        <f>F26*$C$16</f>
        <v>826.875</v>
      </c>
      <c r="G56" s="5">
        <f>G26*$C$16</f>
        <v>868.21875</v>
      </c>
      <c r="H56" s="5">
        <f>H26*$C$16</f>
        <v>911.62968749999993</v>
      </c>
    </row>
    <row r="57" spans="1:8" x14ac:dyDescent="0.25">
      <c r="A57" s="6"/>
      <c r="B57" s="13" t="s">
        <v>47</v>
      </c>
      <c r="C57" s="6"/>
      <c r="D57" s="5">
        <f>SUM(D54:D56)</f>
        <v>2550</v>
      </c>
      <c r="E57" s="5">
        <f>SUM(E54:E56)</f>
        <v>2677.5</v>
      </c>
      <c r="F57" s="5">
        <f>SUM(F54:F56)</f>
        <v>2811.375</v>
      </c>
      <c r="G57" s="5">
        <f>SUM(G54:G56)</f>
        <v>2951.9437499999999</v>
      </c>
      <c r="H57" s="5">
        <f>SUM(H54:H56)</f>
        <v>3099.5409374999999</v>
      </c>
    </row>
    <row r="58" spans="1:8" x14ac:dyDescent="0.25">
      <c r="A58" s="6"/>
      <c r="B58" s="13"/>
      <c r="C58" s="6"/>
      <c r="D58" s="6"/>
      <c r="E58" s="6"/>
      <c r="F58" s="6"/>
      <c r="G58" s="6"/>
      <c r="H58" s="6"/>
    </row>
    <row r="59" spans="1:8" x14ac:dyDescent="0.25">
      <c r="A59" s="6"/>
      <c r="B59" s="13" t="s">
        <v>48</v>
      </c>
      <c r="C59" s="6"/>
      <c r="D59" s="5">
        <f>D51*$C$11+D52*$C$12</f>
        <v>2100</v>
      </c>
      <c r="E59" s="5">
        <f>E51*$C$11+E52*$C$12</f>
        <v>2205</v>
      </c>
      <c r="F59" s="5">
        <f>F51*$C$11+F52*$C$12</f>
        <v>2315.25</v>
      </c>
      <c r="G59" s="5">
        <f>G51*$C$11+G52*$C$12</f>
        <v>2431.0124999999998</v>
      </c>
      <c r="H59" s="5">
        <f>H51*$C$11+H52*$C$12</f>
        <v>2552.5631250000001</v>
      </c>
    </row>
    <row r="60" spans="1:8" x14ac:dyDescent="0.25">
      <c r="A60" s="6"/>
      <c r="B60" s="13" t="s">
        <v>49</v>
      </c>
      <c r="C60" s="6"/>
      <c r="D60" s="5">
        <f>D27*$C$15</f>
        <v>800</v>
      </c>
      <c r="E60" s="5">
        <f>E27*$C$15</f>
        <v>840</v>
      </c>
      <c r="F60" s="5">
        <f>F27*$C$15</f>
        <v>882</v>
      </c>
      <c r="G60" s="5">
        <f>G27*$C$15</f>
        <v>926.1</v>
      </c>
      <c r="H60" s="5">
        <f>H27*$C$15</f>
        <v>972.4050000000002</v>
      </c>
    </row>
    <row r="61" spans="1:8" x14ac:dyDescent="0.25">
      <c r="A61" s="6"/>
      <c r="B61" s="13" t="s">
        <v>50</v>
      </c>
      <c r="C61" s="6"/>
      <c r="D61" s="5">
        <f>D27*$C$16</f>
        <v>1200</v>
      </c>
      <c r="E61" s="5">
        <f>E27*$C$16</f>
        <v>1260</v>
      </c>
      <c r="F61" s="5">
        <f>F27*$C$16</f>
        <v>1323</v>
      </c>
      <c r="G61" s="5">
        <f>G27*$C$16</f>
        <v>1389.1499999999999</v>
      </c>
      <c r="H61" s="5">
        <f>H27*$C$16</f>
        <v>1458.6075000000001</v>
      </c>
    </row>
    <row r="62" spans="1:8" x14ac:dyDescent="0.25">
      <c r="A62" s="6"/>
      <c r="B62" s="13" t="s">
        <v>51</v>
      </c>
      <c r="C62" s="6"/>
      <c r="D62" s="5">
        <f>SUM(D59:D61)</f>
        <v>4100</v>
      </c>
      <c r="E62" s="5">
        <f>SUM(E59:E61)</f>
        <v>4305</v>
      </c>
      <c r="F62" s="5">
        <f>SUM(F59:F61)</f>
        <v>4520.25</v>
      </c>
      <c r="G62" s="5">
        <f>SUM(G59:G61)</f>
        <v>4746.2624999999998</v>
      </c>
      <c r="H62" s="5">
        <f>SUM(H59:H61)</f>
        <v>4983.5756250000004</v>
      </c>
    </row>
    <row r="63" spans="1:8" x14ac:dyDescent="0.25">
      <c r="A63" s="6"/>
      <c r="B63" s="13"/>
      <c r="C63" s="6"/>
      <c r="D63" s="6"/>
      <c r="E63" s="6"/>
      <c r="F63" s="6"/>
      <c r="G63" s="6"/>
      <c r="H63" s="6"/>
    </row>
    <row r="64" spans="1:8" x14ac:dyDescent="0.25">
      <c r="A64" s="6"/>
      <c r="B64" s="13" t="s">
        <v>52</v>
      </c>
      <c r="C64" s="6"/>
      <c r="D64" s="5">
        <f>D31*D57+D36*D62</f>
        <v>834700</v>
      </c>
      <c r="E64" s="5">
        <f>E31*E57+E36*E62</f>
        <v>913920</v>
      </c>
      <c r="F64" s="5">
        <f>F31*F57+F36*F62</f>
        <v>1003495.5</v>
      </c>
      <c r="G64" s="5">
        <f>G31*G57+G36*G62</f>
        <v>1099743.75</v>
      </c>
      <c r="H64" s="5">
        <f>H31*H57+H36*H62</f>
        <v>1209307.1681249999</v>
      </c>
    </row>
    <row r="65" spans="1:13" x14ac:dyDescent="0.25">
      <c r="A65" s="6"/>
      <c r="B65" s="13" t="s">
        <v>53</v>
      </c>
      <c r="C65" s="6"/>
      <c r="D65" s="5">
        <f>D51*D41+D52*D46</f>
        <v>714000</v>
      </c>
      <c r="E65" s="5">
        <f>E51*E41+E52*E46</f>
        <v>777840</v>
      </c>
      <c r="F65" s="5">
        <f>F51*F41+F52*F46</f>
        <v>853445.25</v>
      </c>
      <c r="G65" s="5">
        <f>G51*G41+G52*G46</f>
        <v>935592.52500000002</v>
      </c>
      <c r="H65" s="5">
        <f>H51*H41+H52*H46</f>
        <v>1027588.9837500001</v>
      </c>
    </row>
    <row r="66" spans="1:13" x14ac:dyDescent="0.25">
      <c r="A66" s="6"/>
      <c r="B66" s="13" t="s">
        <v>54</v>
      </c>
      <c r="C66" s="6"/>
      <c r="D66" s="5">
        <f>D44*D51+D49*D52</f>
        <v>52139700</v>
      </c>
      <c r="E66" s="5">
        <f>E44*E51+E49*E52</f>
        <v>56007000</v>
      </c>
      <c r="F66" s="5">
        <f>F44*F51+F49*F52</f>
        <v>61460957.25</v>
      </c>
      <c r="G66" s="5">
        <f>G44*G51+G49*G52</f>
        <v>67435360.650000006</v>
      </c>
      <c r="H66" s="5">
        <f>H44*H51+H49*H52</f>
        <v>73998683.44312501</v>
      </c>
    </row>
    <row r="67" spans="1:13" x14ac:dyDescent="0.25">
      <c r="A67" s="6"/>
      <c r="B67" s="13" t="s">
        <v>55</v>
      </c>
      <c r="C67" s="6"/>
      <c r="D67" s="5">
        <f>(D66/360)*$C$20</f>
        <v>4344975</v>
      </c>
      <c r="E67" s="5">
        <f>(E66/360)*$C$20</f>
        <v>4667250</v>
      </c>
      <c r="F67" s="5">
        <f>(F66/360)*$C$20</f>
        <v>5121746.4375</v>
      </c>
      <c r="G67" s="5">
        <f>(G66/360)*$C$20</f>
        <v>5619613.3875000002</v>
      </c>
      <c r="H67" s="5">
        <f>(H66/360)*$C$20</f>
        <v>6166556.9535937514</v>
      </c>
    </row>
    <row r="68" spans="1:13" x14ac:dyDescent="0.25">
      <c r="A68" s="6"/>
      <c r="B68" s="13"/>
      <c r="C68" s="6"/>
      <c r="D68" s="6"/>
      <c r="E68" s="6"/>
      <c r="F68" s="6"/>
      <c r="G68" s="6"/>
      <c r="H68" s="6"/>
    </row>
    <row r="69" spans="1:13" x14ac:dyDescent="0.25">
      <c r="A69" s="6"/>
      <c r="B69" s="16" t="s">
        <v>56</v>
      </c>
      <c r="C69" s="17">
        <v>0</v>
      </c>
      <c r="D69" s="17">
        <v>1</v>
      </c>
      <c r="E69" s="17">
        <v>2</v>
      </c>
      <c r="F69" s="17">
        <v>3</v>
      </c>
      <c r="G69" s="17">
        <v>4</v>
      </c>
      <c r="H69" s="17">
        <v>5</v>
      </c>
    </row>
    <row r="70" spans="1:13" x14ac:dyDescent="0.25">
      <c r="A70" s="6"/>
      <c r="B70" s="13" t="s">
        <v>53</v>
      </c>
      <c r="C70" s="6"/>
      <c r="D70" s="5">
        <f>D65</f>
        <v>714000</v>
      </c>
      <c r="E70" s="5">
        <f>E65</f>
        <v>777840</v>
      </c>
      <c r="F70" s="5">
        <f>F65</f>
        <v>853445.25</v>
      </c>
      <c r="G70" s="5">
        <f>G65</f>
        <v>935592.52500000002</v>
      </c>
      <c r="H70" s="5">
        <f>H65</f>
        <v>1027588.9837500001</v>
      </c>
    </row>
    <row r="71" spans="1:13" x14ac:dyDescent="0.25">
      <c r="A71" s="6"/>
      <c r="B71" s="13" t="s">
        <v>52</v>
      </c>
      <c r="C71" s="6"/>
      <c r="D71" s="5">
        <f>D64</f>
        <v>834700</v>
      </c>
      <c r="E71" s="5">
        <f>E64</f>
        <v>913920</v>
      </c>
      <c r="F71" s="5">
        <f>F64</f>
        <v>1003495.5</v>
      </c>
      <c r="G71" s="5">
        <f>G64</f>
        <v>1099743.75</v>
      </c>
      <c r="H71" s="5">
        <f>H64</f>
        <v>1209307.1681249999</v>
      </c>
    </row>
    <row r="72" spans="1:13" x14ac:dyDescent="0.25">
      <c r="A72" s="6"/>
      <c r="B72" s="13" t="s">
        <v>27</v>
      </c>
      <c r="C72" s="6"/>
      <c r="D72" s="5">
        <f>D29</f>
        <v>16333333.333333336</v>
      </c>
      <c r="E72" s="5">
        <f>E29</f>
        <v>17921750</v>
      </c>
      <c r="F72" s="5">
        <f>F29</f>
        <v>19664649.375</v>
      </c>
      <c r="G72" s="5">
        <f>G29</f>
        <v>21576779.4375</v>
      </c>
      <c r="H72" s="5">
        <f>H29</f>
        <v>23675529.4453125</v>
      </c>
    </row>
    <row r="73" spans="1:13" x14ac:dyDescent="0.25">
      <c r="A73" s="6"/>
      <c r="B73" s="13" t="s">
        <v>55</v>
      </c>
      <c r="C73" s="6"/>
      <c r="D73" s="5">
        <f>D67</f>
        <v>4344975</v>
      </c>
      <c r="E73" s="5">
        <f>E67</f>
        <v>4667250</v>
      </c>
      <c r="F73" s="5">
        <f>F67</f>
        <v>5121746.4375</v>
      </c>
      <c r="G73" s="5">
        <f>G67</f>
        <v>5619613.3875000002</v>
      </c>
      <c r="H73" s="5">
        <f>H67</f>
        <v>6166556.9535937514</v>
      </c>
    </row>
    <row r="74" spans="1:13" x14ac:dyDescent="0.25">
      <c r="A74" s="6"/>
      <c r="B74" s="13" t="s">
        <v>57</v>
      </c>
      <c r="C74" s="6"/>
      <c r="D74" s="5">
        <f>SUM(D70:D72)-D73</f>
        <v>13537058.333333336</v>
      </c>
      <c r="E74" s="5">
        <f>SUM(E70:E72)-E73</f>
        <v>14946260</v>
      </c>
      <c r="F74" s="5">
        <f>SUM(F70:F72)-F73</f>
        <v>16399843.6875</v>
      </c>
      <c r="G74" s="5">
        <f>SUM(G70:G72)-G73</f>
        <v>17992502.324999999</v>
      </c>
      <c r="H74" s="5">
        <f>SUM(H70:H72)-H73</f>
        <v>19745868.643593751</v>
      </c>
    </row>
    <row r="75" spans="1:13" x14ac:dyDescent="0.25">
      <c r="A75" s="6"/>
      <c r="B75" s="13" t="s">
        <v>58</v>
      </c>
      <c r="C75" s="5">
        <f>D74</f>
        <v>13537058.333333336</v>
      </c>
      <c r="D75" s="5">
        <f>IF(E74&gt;D74,E74-D74,0)</f>
        <v>1409201.6666666642</v>
      </c>
      <c r="E75" s="5">
        <f>IF(F74&gt;E74,F74-E74,0)</f>
        <v>1453583.6875</v>
      </c>
      <c r="F75" s="5">
        <f>IF(G74&gt;F74,G74-F74,0)</f>
        <v>1592658.6374999993</v>
      </c>
      <c r="G75" s="5">
        <f>IF(H74&gt;G74,H74-G74,0)</f>
        <v>1753366.3185937516</v>
      </c>
      <c r="H75" s="46">
        <v>1920436.0609218776</v>
      </c>
    </row>
    <row r="76" spans="1:13" x14ac:dyDescent="0.25">
      <c r="A76" s="6"/>
      <c r="B76" s="13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</row>
    <row r="77" spans="1:13" x14ac:dyDescent="0.25">
      <c r="A77" s="6"/>
      <c r="B77" s="13"/>
      <c r="C77" s="6"/>
      <c r="D77" s="5">
        <f>D70+D71</f>
        <v>1548700</v>
      </c>
      <c r="E77" s="6"/>
      <c r="F77" s="6"/>
      <c r="G77" s="6"/>
      <c r="H77" s="6"/>
      <c r="I77" s="6"/>
      <c r="J77" s="6"/>
      <c r="K77" s="6"/>
      <c r="L77" s="6"/>
      <c r="M77" s="6"/>
    </row>
    <row r="78" spans="1:13" x14ac:dyDescent="0.25">
      <c r="A78" s="9"/>
      <c r="B78" s="21"/>
      <c r="C78" s="21"/>
      <c r="D78" s="21"/>
      <c r="E78" s="21"/>
      <c r="F78" s="21"/>
      <c r="G78" s="21"/>
      <c r="H78" s="6"/>
      <c r="I78" s="6"/>
      <c r="J78" s="6"/>
      <c r="K78" s="6"/>
      <c r="L78" s="6"/>
      <c r="M78" s="6"/>
    </row>
    <row r="79" spans="1:13" x14ac:dyDescent="0.25">
      <c r="A79" s="9"/>
      <c r="B79" s="22"/>
      <c r="C79" s="21"/>
      <c r="D79" s="21"/>
      <c r="E79" s="21"/>
      <c r="F79" s="21"/>
      <c r="G79" s="21"/>
      <c r="H79" s="6"/>
      <c r="I79" s="6"/>
      <c r="J79" s="6"/>
      <c r="K79" s="6"/>
      <c r="L79" s="6"/>
      <c r="M79" s="6"/>
    </row>
    <row r="80" spans="1:13" x14ac:dyDescent="0.25">
      <c r="A80" s="9"/>
      <c r="B80" s="20"/>
      <c r="C80" s="21"/>
      <c r="D80" s="21"/>
      <c r="E80" s="21"/>
      <c r="F80" s="21"/>
      <c r="G80" s="21"/>
      <c r="H80" s="6"/>
      <c r="I80" s="6"/>
      <c r="J80" s="6"/>
      <c r="K80" s="6"/>
      <c r="L80" s="6"/>
      <c r="M80" s="6"/>
    </row>
    <row r="81" spans="1:13" x14ac:dyDescent="0.25">
      <c r="A81" s="9" t="s">
        <v>43</v>
      </c>
      <c r="B81" s="20">
        <v>0.05</v>
      </c>
      <c r="C81" s="21"/>
      <c r="D81" s="21"/>
      <c r="E81" s="21"/>
      <c r="F81" s="21"/>
      <c r="G81" s="21"/>
      <c r="H81" s="6"/>
      <c r="I81" s="6"/>
      <c r="J81" s="6"/>
      <c r="K81" s="6"/>
      <c r="L81" s="6"/>
      <c r="M81" s="6"/>
    </row>
    <row r="82" spans="1:13" x14ac:dyDescent="0.25">
      <c r="A82" s="9" t="s">
        <v>63</v>
      </c>
      <c r="B82" s="22">
        <v>100000000</v>
      </c>
      <c r="C82" s="21"/>
      <c r="D82" s="21"/>
      <c r="E82" s="21"/>
      <c r="F82" s="21"/>
      <c r="G82" s="21"/>
      <c r="H82" s="6"/>
      <c r="I82" s="6"/>
      <c r="J82" s="6"/>
      <c r="K82" s="6"/>
      <c r="L82" s="6"/>
      <c r="M82" s="6"/>
    </row>
    <row r="83" spans="1:13" x14ac:dyDescent="0.25">
      <c r="A83" s="9" t="s">
        <v>64</v>
      </c>
      <c r="B83" s="22">
        <v>20000000</v>
      </c>
      <c r="C83" s="21"/>
      <c r="D83" s="21"/>
      <c r="E83" s="21"/>
      <c r="F83" s="21"/>
      <c r="G83" s="21"/>
      <c r="H83" s="6"/>
      <c r="I83" s="6"/>
      <c r="J83" s="6"/>
      <c r="K83" s="6"/>
      <c r="L83" s="6"/>
      <c r="M83" s="6"/>
    </row>
    <row r="84" spans="1:13" x14ac:dyDescent="0.25">
      <c r="A84" s="9" t="s">
        <v>65</v>
      </c>
      <c r="B84" s="22">
        <v>2000000</v>
      </c>
      <c r="C84" s="21" t="s">
        <v>60</v>
      </c>
      <c r="D84" s="21"/>
      <c r="E84" s="21"/>
      <c r="F84" s="21"/>
      <c r="G84" s="21"/>
      <c r="H84" s="6"/>
      <c r="I84" s="6"/>
      <c r="J84" s="6"/>
      <c r="K84" s="6"/>
      <c r="L84" s="6"/>
      <c r="M84" s="6"/>
    </row>
    <row r="85" spans="1:13" x14ac:dyDescent="0.25">
      <c r="A85" s="9" t="s">
        <v>66</v>
      </c>
      <c r="B85" s="22">
        <v>10000000</v>
      </c>
      <c r="C85" s="21"/>
      <c r="D85" s="21"/>
      <c r="E85" s="21"/>
      <c r="F85" s="21"/>
      <c r="G85" s="21"/>
      <c r="H85" s="6"/>
      <c r="I85" s="6"/>
      <c r="J85" s="6"/>
      <c r="K85" s="6"/>
      <c r="L85" s="6"/>
      <c r="M85" s="6"/>
    </row>
    <row r="86" spans="1:13" x14ac:dyDescent="0.25">
      <c r="A86" s="9" t="s">
        <v>67</v>
      </c>
      <c r="B86" s="22">
        <v>10000000</v>
      </c>
      <c r="C86" s="21" t="s">
        <v>60</v>
      </c>
      <c r="D86" s="21"/>
      <c r="E86" s="21"/>
      <c r="F86" s="21"/>
      <c r="G86" s="21"/>
      <c r="H86" s="6"/>
      <c r="I86" s="6"/>
      <c r="J86" s="6"/>
      <c r="K86" s="6"/>
      <c r="L86" s="6"/>
      <c r="M86" s="6"/>
    </row>
    <row r="87" spans="1:13" x14ac:dyDescent="0.25">
      <c r="A87" s="9" t="s">
        <v>68</v>
      </c>
      <c r="B87" s="20">
        <v>0.1</v>
      </c>
      <c r="C87" s="21" t="s">
        <v>69</v>
      </c>
      <c r="D87" s="21"/>
      <c r="E87" s="23"/>
      <c r="F87" s="21"/>
      <c r="G87" s="21"/>
      <c r="H87" s="6"/>
      <c r="I87" s="6"/>
      <c r="J87" s="6"/>
      <c r="K87" s="6"/>
      <c r="L87" s="6"/>
      <c r="M87" s="6"/>
    </row>
    <row r="88" spans="1:13" x14ac:dyDescent="0.25">
      <c r="A88" s="9" t="s">
        <v>70</v>
      </c>
      <c r="B88" s="21">
        <v>12000</v>
      </c>
      <c r="C88" s="21"/>
      <c r="D88" s="21"/>
      <c r="E88" s="21"/>
      <c r="F88" s="21"/>
      <c r="G88" s="21"/>
      <c r="H88" s="6"/>
      <c r="I88" s="6"/>
      <c r="J88" s="6"/>
      <c r="K88" s="6"/>
      <c r="L88" s="6"/>
      <c r="M88" s="6"/>
    </row>
    <row r="89" spans="1:13" x14ac:dyDescent="0.25">
      <c r="A89" s="9" t="s">
        <v>72</v>
      </c>
      <c r="B89" s="24">
        <v>3000</v>
      </c>
      <c r="C89" s="21" t="s">
        <v>71</v>
      </c>
      <c r="D89" s="21">
        <v>2000</v>
      </c>
      <c r="E89" s="21"/>
      <c r="F89" s="21"/>
      <c r="G89" s="21"/>
      <c r="H89" s="6"/>
      <c r="I89" s="6"/>
      <c r="J89" s="6"/>
      <c r="K89" s="6"/>
      <c r="L89" s="6"/>
      <c r="M89" s="6"/>
    </row>
    <row r="90" spans="1:13" x14ac:dyDescent="0.25">
      <c r="A90" s="9" t="s">
        <v>73</v>
      </c>
      <c r="B90" s="20"/>
      <c r="C90" s="21"/>
      <c r="D90" s="21"/>
      <c r="E90" s="21"/>
      <c r="F90" s="21"/>
      <c r="G90" s="21"/>
      <c r="H90" s="6"/>
      <c r="I90" s="6"/>
      <c r="J90" s="6"/>
      <c r="K90" s="6"/>
      <c r="L90" s="6"/>
      <c r="M90" s="6"/>
    </row>
    <row r="91" spans="1:13" x14ac:dyDescent="0.25">
      <c r="A91" s="9" t="s">
        <v>74</v>
      </c>
      <c r="B91" s="20">
        <v>0.33</v>
      </c>
      <c r="C91" s="21"/>
      <c r="D91" s="21"/>
      <c r="E91" s="21"/>
      <c r="F91" s="21"/>
      <c r="G91" s="21"/>
      <c r="H91" s="6"/>
      <c r="I91" s="6"/>
      <c r="J91" s="6"/>
      <c r="K91" s="6"/>
      <c r="L91" s="6"/>
      <c r="M91" s="6"/>
    </row>
    <row r="92" spans="1:13" x14ac:dyDescent="0.25">
      <c r="A92" s="9" t="s">
        <v>115</v>
      </c>
      <c r="B92" s="22">
        <v>5000</v>
      </c>
      <c r="C92" s="21" t="s">
        <v>3</v>
      </c>
      <c r="D92" s="21"/>
      <c r="E92" s="21"/>
      <c r="F92" s="21"/>
      <c r="G92" s="21"/>
      <c r="H92" s="6"/>
      <c r="I92" s="6"/>
      <c r="J92" s="6"/>
      <c r="K92" s="6"/>
      <c r="L92" s="6"/>
      <c r="M92" s="6"/>
    </row>
    <row r="93" spans="1:13" x14ac:dyDescent="0.25">
      <c r="A93" s="9" t="s">
        <v>116</v>
      </c>
      <c r="B93" s="22">
        <v>8000</v>
      </c>
      <c r="C93" s="21" t="s">
        <v>3</v>
      </c>
      <c r="D93" s="21"/>
      <c r="E93" s="21"/>
      <c r="F93" s="21"/>
      <c r="G93" s="21"/>
      <c r="H93" s="6"/>
      <c r="I93" s="6"/>
      <c r="J93" s="6"/>
      <c r="K93" s="6"/>
      <c r="L93" s="6"/>
      <c r="M93" s="6"/>
    </row>
    <row r="94" spans="1:13" x14ac:dyDescent="0.25">
      <c r="A94" s="9" t="s">
        <v>75</v>
      </c>
      <c r="B94" s="21">
        <v>30</v>
      </c>
      <c r="C94" s="21" t="s">
        <v>76</v>
      </c>
      <c r="D94" s="21"/>
      <c r="E94" s="21"/>
      <c r="F94" s="21"/>
      <c r="G94" s="21"/>
      <c r="H94" s="6"/>
      <c r="I94" s="6"/>
      <c r="J94" s="6"/>
      <c r="K94" s="6"/>
      <c r="L94" s="6"/>
      <c r="M94" s="6"/>
    </row>
    <row r="95" spans="1:13" x14ac:dyDescent="0.25">
      <c r="A95" s="9" t="s">
        <v>77</v>
      </c>
      <c r="B95" s="20">
        <v>0.9</v>
      </c>
      <c r="C95" s="21"/>
      <c r="D95" s="21"/>
      <c r="E95" s="21"/>
      <c r="F95" s="21"/>
      <c r="G95" s="21"/>
      <c r="H95" s="6"/>
      <c r="I95" s="6"/>
      <c r="J95" s="6"/>
      <c r="K95" s="6"/>
      <c r="L95" s="6"/>
      <c r="M95" s="6"/>
    </row>
    <row r="96" spans="1:13" x14ac:dyDescent="0.25">
      <c r="A96" s="9" t="s">
        <v>78</v>
      </c>
      <c r="B96" s="20">
        <v>0.1</v>
      </c>
      <c r="C96" s="20">
        <f>B96+B95</f>
        <v>1</v>
      </c>
      <c r="D96" s="21"/>
      <c r="E96" s="21"/>
      <c r="F96" s="21"/>
      <c r="G96" s="21"/>
      <c r="H96" s="6"/>
      <c r="I96" s="6"/>
      <c r="J96" s="6"/>
      <c r="K96" s="6"/>
      <c r="L96" s="6"/>
      <c r="M96" s="6"/>
    </row>
    <row r="97" spans="1:13" x14ac:dyDescent="0.25">
      <c r="A97" s="9" t="s">
        <v>232</v>
      </c>
      <c r="B97" s="21">
        <v>5</v>
      </c>
      <c r="C97" s="21" t="s">
        <v>1</v>
      </c>
      <c r="D97" s="21"/>
      <c r="E97" s="21"/>
      <c r="F97" s="21"/>
      <c r="G97" s="21"/>
      <c r="H97" s="6"/>
      <c r="I97" s="6"/>
      <c r="J97" s="6"/>
      <c r="K97" s="6"/>
      <c r="L97" s="6"/>
      <c r="M97" s="6"/>
    </row>
    <row r="98" spans="1:13" x14ac:dyDescent="0.25">
      <c r="A98" s="9" t="s">
        <v>79</v>
      </c>
      <c r="B98" s="21"/>
      <c r="C98" s="21"/>
      <c r="D98" s="21"/>
      <c r="E98" s="21"/>
      <c r="F98" s="21"/>
      <c r="G98" s="21"/>
      <c r="H98" s="6"/>
      <c r="I98" s="6"/>
      <c r="J98" s="6"/>
      <c r="K98" s="6"/>
      <c r="L98" s="6"/>
      <c r="M98" s="6"/>
    </row>
    <row r="99" spans="1:13" x14ac:dyDescent="0.25">
      <c r="A99" s="9" t="s">
        <v>80</v>
      </c>
      <c r="B99" s="25">
        <v>0.21</v>
      </c>
      <c r="C99" s="21" t="s">
        <v>81</v>
      </c>
      <c r="D99" s="21"/>
      <c r="E99" s="21"/>
      <c r="F99" s="21"/>
      <c r="G99" s="21"/>
      <c r="H99" s="6"/>
      <c r="I99" s="6"/>
      <c r="J99" s="6"/>
      <c r="K99" s="6"/>
      <c r="L99" s="6"/>
      <c r="M99" s="6"/>
    </row>
    <row r="100" spans="1:13" x14ac:dyDescent="0.25">
      <c r="A100" s="9" t="s">
        <v>82</v>
      </c>
      <c r="B100" s="20">
        <v>0.05</v>
      </c>
      <c r="C100" s="20">
        <v>0.06</v>
      </c>
      <c r="D100" s="20">
        <v>0.03</v>
      </c>
      <c r="E100" s="20">
        <v>0.02</v>
      </c>
      <c r="F100" s="20"/>
      <c r="G100" s="21"/>
      <c r="H100" s="6"/>
      <c r="I100" s="6"/>
      <c r="J100" s="6"/>
      <c r="K100" s="6"/>
      <c r="L100" s="6"/>
      <c r="M100" s="6"/>
    </row>
    <row r="101" spans="1:13" x14ac:dyDescent="0.25">
      <c r="A101" s="9" t="s">
        <v>83</v>
      </c>
      <c r="B101" s="26">
        <v>0.38500000000000001</v>
      </c>
      <c r="C101" s="21"/>
      <c r="D101" s="21"/>
      <c r="E101" s="21"/>
      <c r="F101" s="21"/>
      <c r="G101" s="21"/>
      <c r="H101" s="6"/>
      <c r="I101" s="6"/>
      <c r="J101" s="6"/>
      <c r="K101" s="6"/>
      <c r="L101" s="6"/>
      <c r="M101" s="6"/>
    </row>
    <row r="102" spans="1:13" x14ac:dyDescent="0.25">
      <c r="A102" s="9" t="s">
        <v>84</v>
      </c>
      <c r="B102" s="21">
        <v>5</v>
      </c>
      <c r="C102" s="21" t="s">
        <v>1</v>
      </c>
      <c r="D102" s="21"/>
      <c r="E102" s="21"/>
      <c r="F102" s="21"/>
      <c r="G102" s="21"/>
      <c r="H102" s="6"/>
      <c r="I102" s="6"/>
      <c r="J102" s="6"/>
      <c r="K102" s="6"/>
      <c r="L102" s="6"/>
      <c r="M102" s="6"/>
    </row>
    <row r="103" spans="1:13" x14ac:dyDescent="0.25">
      <c r="A103" s="9" t="s">
        <v>85</v>
      </c>
      <c r="B103" s="20">
        <v>0.2</v>
      </c>
      <c r="C103" s="21"/>
      <c r="D103" s="21"/>
      <c r="E103" s="21"/>
      <c r="F103" s="21"/>
      <c r="G103" s="21"/>
      <c r="H103" s="6"/>
      <c r="I103" s="6"/>
      <c r="J103" s="6"/>
      <c r="K103" s="6"/>
      <c r="L103" s="6"/>
      <c r="M103" s="6"/>
    </row>
    <row r="104" spans="1:13" x14ac:dyDescent="0.25">
      <c r="A104" s="9"/>
      <c r="B104" s="21"/>
      <c r="C104" s="21"/>
      <c r="D104" s="21"/>
      <c r="E104" s="21"/>
      <c r="F104" s="21"/>
      <c r="G104" s="21"/>
      <c r="H104" s="6"/>
      <c r="I104" s="6"/>
      <c r="J104" s="6"/>
      <c r="K104" s="6"/>
      <c r="L104" s="6"/>
      <c r="M104" s="6"/>
    </row>
    <row r="105" spans="1:13" x14ac:dyDescent="0.25">
      <c r="A105" s="9"/>
      <c r="B105" s="27"/>
      <c r="C105" s="27">
        <v>1</v>
      </c>
      <c r="D105" s="27">
        <v>2</v>
      </c>
      <c r="E105" s="27">
        <v>3</v>
      </c>
      <c r="F105" s="27">
        <v>4</v>
      </c>
      <c r="G105" s="27">
        <v>5</v>
      </c>
      <c r="H105" s="6"/>
      <c r="I105" s="6"/>
      <c r="J105" s="6"/>
      <c r="K105" s="6"/>
      <c r="L105" s="6"/>
      <c r="M105" s="6"/>
    </row>
    <row r="106" spans="1:13" x14ac:dyDescent="0.25">
      <c r="A106" s="9" t="s">
        <v>86</v>
      </c>
      <c r="B106" s="21"/>
      <c r="C106" s="21">
        <f>B89*12</f>
        <v>36000</v>
      </c>
      <c r="D106" s="21">
        <f>ROUND('Punto de Fabrica'!C106*(1+'Punto de Fabrica'!$B$100),0)</f>
        <v>37800</v>
      </c>
      <c r="E106" s="21">
        <f>ROUND(D106*(1+'Punto de Fabrica'!$C$100),0)</f>
        <v>40068</v>
      </c>
      <c r="F106" s="21">
        <f>ROUND(E106*(1+$D$100),0)</f>
        <v>41270</v>
      </c>
      <c r="G106" s="21">
        <f>ROUND(F106*(1+$E$100),0)</f>
        <v>42095</v>
      </c>
      <c r="H106" s="6"/>
      <c r="I106" s="6"/>
      <c r="J106" s="6"/>
      <c r="K106" s="6"/>
      <c r="L106" s="6"/>
      <c r="M106" s="6"/>
    </row>
    <row r="107" spans="1:13" x14ac:dyDescent="0.25">
      <c r="A107" s="9" t="s">
        <v>87</v>
      </c>
      <c r="B107" s="21"/>
      <c r="C107" s="21">
        <f>$B$88*12</f>
        <v>144000</v>
      </c>
      <c r="D107" s="21">
        <f>'Punto de Fabrica'!$B$88*12</f>
        <v>144000</v>
      </c>
      <c r="E107" s="21">
        <f>'Punto de Fabrica'!$B$88*12</f>
        <v>144000</v>
      </c>
      <c r="F107" s="21">
        <f>'Punto de Fabrica'!$B$88*12</f>
        <v>144000</v>
      </c>
      <c r="G107" s="21">
        <f>'Punto de Fabrica'!$B$88*12</f>
        <v>144000</v>
      </c>
      <c r="H107" s="6"/>
      <c r="I107" s="6"/>
      <c r="J107" s="6"/>
      <c r="K107" s="6"/>
      <c r="L107" s="6"/>
      <c r="M107" s="6"/>
    </row>
    <row r="108" spans="1:13" x14ac:dyDescent="0.25">
      <c r="A108" s="9" t="s">
        <v>88</v>
      </c>
      <c r="B108" s="21"/>
      <c r="C108" s="21">
        <f>IF(C106&lt;C107,C106,C107)</f>
        <v>36000</v>
      </c>
      <c r="D108" s="21">
        <f>IF(D106&lt;D107,D106,D107)</f>
        <v>37800</v>
      </c>
      <c r="E108" s="21">
        <f>IF(E106&lt;E107,E106,E107)</f>
        <v>40068</v>
      </c>
      <c r="F108" s="21">
        <f>IF(F106&lt;F107,F106,F107)</f>
        <v>41270</v>
      </c>
      <c r="G108" s="21">
        <f>IF(G106&lt;G107,G106,G107)</f>
        <v>42095</v>
      </c>
      <c r="H108" s="6"/>
      <c r="I108" s="6"/>
      <c r="J108" s="6"/>
      <c r="K108" s="6"/>
      <c r="L108" s="6"/>
      <c r="M108" s="6"/>
    </row>
    <row r="109" spans="1:13" x14ac:dyDescent="0.25">
      <c r="A109" s="9" t="s">
        <v>119</v>
      </c>
      <c r="B109" s="21"/>
      <c r="C109" s="21">
        <f>C106</f>
        <v>36000</v>
      </c>
      <c r="D109" s="21">
        <f>D106</f>
        <v>37800</v>
      </c>
      <c r="E109" s="21">
        <f>E106</f>
        <v>40068</v>
      </c>
      <c r="F109" s="21">
        <f>F106</f>
        <v>41270</v>
      </c>
      <c r="G109" s="21">
        <f>G106</f>
        <v>42095</v>
      </c>
      <c r="H109" s="6"/>
      <c r="I109" s="6"/>
      <c r="J109" s="6"/>
      <c r="K109" s="6"/>
      <c r="L109" s="6"/>
      <c r="M109" s="6"/>
    </row>
    <row r="110" spans="1:13" x14ac:dyDescent="0.25">
      <c r="A110" s="9" t="s">
        <v>120</v>
      </c>
      <c r="B110" s="21"/>
      <c r="C110" s="14">
        <f>'Punto de Fabrica'!D89</f>
        <v>2000</v>
      </c>
      <c r="D110" s="14">
        <f>ROUND('Punto de Fabrica'!C110*(1+$E$5),0)</f>
        <v>2090</v>
      </c>
      <c r="E110" s="14">
        <f>ROUND(D110*(1+$E$5),0)</f>
        <v>2184</v>
      </c>
      <c r="F110" s="14">
        <f>ROUND(E110*(1+$E$5),0)</f>
        <v>2282</v>
      </c>
      <c r="G110" s="14">
        <f>ROUND(F110*(1+$E$5),0)</f>
        <v>2385</v>
      </c>
      <c r="H110" s="6"/>
      <c r="I110" s="6"/>
      <c r="J110" s="6"/>
      <c r="K110" s="6"/>
      <c r="L110" s="6"/>
      <c r="M110" s="6"/>
    </row>
    <row r="111" spans="1:13" x14ac:dyDescent="0.25">
      <c r="A111" s="9" t="s">
        <v>117</v>
      </c>
      <c r="B111" s="21"/>
      <c r="C111" s="22">
        <f>B92</f>
        <v>5000</v>
      </c>
      <c r="D111" s="5">
        <f>'Punto de Fabrica'!C111*(1+$C$8)</f>
        <v>5250</v>
      </c>
      <c r="E111" s="5">
        <f t="shared" ref="E111:G112" si="3">D111*(1+$C$8)</f>
        <v>5512.5</v>
      </c>
      <c r="F111" s="5">
        <f t="shared" si="3"/>
        <v>5788.125</v>
      </c>
      <c r="G111" s="5">
        <f t="shared" si="3"/>
        <v>6077.53125</v>
      </c>
      <c r="H111" s="6"/>
      <c r="I111" s="6"/>
      <c r="J111" s="6"/>
      <c r="K111" s="6"/>
      <c r="L111" s="6"/>
      <c r="M111" s="6"/>
    </row>
    <row r="112" spans="1:13" x14ac:dyDescent="0.25">
      <c r="A112" s="9" t="s">
        <v>118</v>
      </c>
      <c r="B112" s="21"/>
      <c r="C112" s="22">
        <f>B93</f>
        <v>8000</v>
      </c>
      <c r="D112" s="5">
        <f>'Punto de Fabrica'!C112*(1+$C$8)</f>
        <v>8400</v>
      </c>
      <c r="E112" s="5">
        <f t="shared" si="3"/>
        <v>8820</v>
      </c>
      <c r="F112" s="5">
        <f t="shared" si="3"/>
        <v>9261</v>
      </c>
      <c r="G112" s="5">
        <f t="shared" si="3"/>
        <v>9724.0500000000011</v>
      </c>
      <c r="H112" s="6"/>
      <c r="I112" s="6"/>
      <c r="J112" s="6"/>
      <c r="K112" s="6"/>
      <c r="L112" s="6"/>
      <c r="M112" s="6"/>
    </row>
    <row r="113" spans="1:13" x14ac:dyDescent="0.25">
      <c r="A113" s="9"/>
      <c r="B113" s="21"/>
      <c r="C113" s="21" t="s">
        <v>128</v>
      </c>
      <c r="D113" s="21" t="s">
        <v>129</v>
      </c>
      <c r="E113" s="21" t="s">
        <v>130</v>
      </c>
      <c r="F113" s="21" t="s">
        <v>131</v>
      </c>
      <c r="G113" s="21" t="s">
        <v>132</v>
      </c>
      <c r="H113" s="6"/>
      <c r="I113" s="6"/>
      <c r="J113" s="6"/>
      <c r="K113" s="6"/>
      <c r="L113" s="6"/>
      <c r="M113" s="6"/>
    </row>
    <row r="114" spans="1:13" x14ac:dyDescent="0.25">
      <c r="A114" s="9" t="s">
        <v>59</v>
      </c>
      <c r="B114" s="21"/>
      <c r="C114" s="22">
        <f>+'Punto de Fabrica'!C109*'Punto de Fabrica'!C111+'Punto de Fabrica'!C110*'Punto de Fabrica'!C112</f>
        <v>196000000</v>
      </c>
      <c r="D114" s="22">
        <f>+D109*D111+D110*D112</f>
        <v>216006000</v>
      </c>
      <c r="E114" s="22">
        <f>+E109*E111+E110*E112</f>
        <v>240137730</v>
      </c>
      <c r="F114" s="22">
        <f>+F109*F111+F110*F112</f>
        <v>260009520.75</v>
      </c>
      <c r="G114" s="22">
        <f>+G109*G111+G110*G112</f>
        <v>279025537.21875</v>
      </c>
      <c r="H114" s="6"/>
      <c r="I114" s="6" t="s">
        <v>121</v>
      </c>
      <c r="J114" s="6"/>
      <c r="K114" s="6"/>
      <c r="L114" s="6"/>
      <c r="M114" s="6"/>
    </row>
    <row r="115" spans="1:13" x14ac:dyDescent="0.25">
      <c r="A115" s="28" t="s">
        <v>89</v>
      </c>
      <c r="B115" s="21"/>
      <c r="C115" s="22">
        <f>('Punto de Fabrica'!B86*12)+(C114*'Punto de Fabrica'!B87)</f>
        <v>139600000</v>
      </c>
      <c r="D115" s="22">
        <f>+C115*(1+$C$21)</f>
        <v>146580000</v>
      </c>
      <c r="E115" s="22">
        <f>+D115*(1+$C$21)</f>
        <v>153909000</v>
      </c>
      <c r="F115" s="22">
        <f>+E115*(1+$C$21)</f>
        <v>161604450</v>
      </c>
      <c r="G115" s="22">
        <f>+F115*(1+$C$21)</f>
        <v>169684672.5</v>
      </c>
      <c r="H115" s="6"/>
      <c r="I115" s="6"/>
      <c r="J115" s="6"/>
      <c r="K115" s="6"/>
      <c r="L115" s="6"/>
      <c r="M115" s="6"/>
    </row>
    <row r="116" spans="1:13" x14ac:dyDescent="0.25">
      <c r="A116" s="29" t="s">
        <v>90</v>
      </c>
      <c r="B116" s="21"/>
      <c r="C116" s="30">
        <f>C114-C115</f>
        <v>56400000</v>
      </c>
      <c r="D116" s="30">
        <f>D114-D115</f>
        <v>69426000</v>
      </c>
      <c r="E116" s="30">
        <f>E114-E115</f>
        <v>86228730</v>
      </c>
      <c r="F116" s="30">
        <f>F114-F115</f>
        <v>98405070.75</v>
      </c>
      <c r="G116" s="30">
        <f>G114-G115</f>
        <v>109340864.71875</v>
      </c>
      <c r="H116" s="6"/>
      <c r="I116" s="6"/>
      <c r="J116" s="6"/>
      <c r="K116" s="6"/>
      <c r="L116" s="6"/>
      <c r="M116" s="6"/>
    </row>
    <row r="117" spans="1:13" x14ac:dyDescent="0.25">
      <c r="A117" s="28" t="s">
        <v>91</v>
      </c>
      <c r="B117" s="21"/>
      <c r="C117" s="22">
        <f>('Punto de Fabrica'!B84*12)</f>
        <v>24000000</v>
      </c>
      <c r="D117" s="22">
        <f>C117*(1+$C$21)</f>
        <v>25200000</v>
      </c>
      <c r="E117" s="22">
        <f>D117*(1+$C$21)</f>
        <v>26460000</v>
      </c>
      <c r="F117" s="22">
        <f>E117*(1+$C$21)</f>
        <v>27783000</v>
      </c>
      <c r="G117" s="22">
        <f>F117*(1+$C$21)</f>
        <v>29172150</v>
      </c>
      <c r="H117" s="6"/>
      <c r="I117" s="6"/>
      <c r="J117" s="6"/>
      <c r="K117" s="6"/>
      <c r="L117" s="6"/>
      <c r="M117" s="6"/>
    </row>
    <row r="118" spans="1:13" x14ac:dyDescent="0.25">
      <c r="A118" s="28" t="s">
        <v>92</v>
      </c>
      <c r="B118" s="21"/>
      <c r="C118" s="22">
        <f>('Punto de Fabrica'!$B$82+'Punto de Fabrica'!$B$83+'Punto de Fabrica'!$B$85)/5</f>
        <v>26000000</v>
      </c>
      <c r="D118" s="22">
        <f>('Punto de Fabrica'!$B$82+'Punto de Fabrica'!$B$83+'Punto de Fabrica'!$B$85)/5</f>
        <v>26000000</v>
      </c>
      <c r="E118" s="22">
        <f>('Punto de Fabrica'!$B$82+'Punto de Fabrica'!$B$83+'Punto de Fabrica'!$B$85)/5</f>
        <v>26000000</v>
      </c>
      <c r="F118" s="22">
        <f>('Punto de Fabrica'!$B$82+'Punto de Fabrica'!$B$83+'Punto de Fabrica'!$B$85)/5</f>
        <v>26000000</v>
      </c>
      <c r="G118" s="22">
        <f>('Punto de Fabrica'!$B$82+'Punto de Fabrica'!$B$83+'Punto de Fabrica'!$B$85)/5</f>
        <v>26000000</v>
      </c>
      <c r="H118" s="6"/>
      <c r="I118" s="6"/>
      <c r="J118" s="6"/>
      <c r="K118" s="6"/>
      <c r="L118" s="6"/>
      <c r="M118" s="6"/>
    </row>
    <row r="119" spans="1:13" x14ac:dyDescent="0.25">
      <c r="A119" s="29" t="s">
        <v>93</v>
      </c>
      <c r="B119" s="21"/>
      <c r="C119" s="30">
        <f>C116-C117-C118</f>
        <v>6400000</v>
      </c>
      <c r="D119" s="30">
        <f>D116-D117-D118</f>
        <v>18226000</v>
      </c>
      <c r="E119" s="30">
        <f>E116-E117-E118</f>
        <v>33768730</v>
      </c>
      <c r="F119" s="30">
        <f>F116-F117-F118</f>
        <v>44622070.75</v>
      </c>
      <c r="G119" s="30">
        <f>G116-G117-G118</f>
        <v>54168714.71875</v>
      </c>
      <c r="H119" s="6"/>
      <c r="I119" s="6"/>
      <c r="J119" s="6"/>
      <c r="K119" s="6"/>
      <c r="L119" s="6"/>
      <c r="M119" s="6"/>
    </row>
    <row r="120" spans="1:13" x14ac:dyDescent="0.25">
      <c r="A120" s="28" t="s">
        <v>94</v>
      </c>
      <c r="B120" s="21"/>
      <c r="C120" s="22">
        <f>IF(C119&gt;0,C119*'Punto de Fabrica'!$B$101,0)</f>
        <v>2464000</v>
      </c>
      <c r="D120" s="22">
        <f>IF(D119&gt;0,D119*'Punto de Fabrica'!$B$101,0)</f>
        <v>7017010</v>
      </c>
      <c r="E120" s="22">
        <f>IF(E119&gt;0,E119*'Punto de Fabrica'!$B$101,0)</f>
        <v>13000961.050000001</v>
      </c>
      <c r="F120" s="22">
        <f>IF(F119&gt;0,F119*'Punto de Fabrica'!$B$101,0)</f>
        <v>17179497.23875</v>
      </c>
      <c r="G120" s="22">
        <f>IF(G119&gt;0,G119*'Punto de Fabrica'!$B$101,0)</f>
        <v>20854955.166718751</v>
      </c>
      <c r="H120" s="6"/>
      <c r="I120" s="6"/>
      <c r="J120" s="6"/>
      <c r="K120" s="6"/>
      <c r="L120" s="6"/>
      <c r="M120" s="6"/>
    </row>
    <row r="121" spans="1:13" x14ac:dyDescent="0.25">
      <c r="A121" s="29" t="s">
        <v>95</v>
      </c>
      <c r="B121" s="21"/>
      <c r="C121" s="30">
        <f>C119-C120</f>
        <v>3936000</v>
      </c>
      <c r="D121" s="30">
        <f>D119-D120</f>
        <v>11208990</v>
      </c>
      <c r="E121" s="30">
        <f>E119-E120</f>
        <v>20767768.949999999</v>
      </c>
      <c r="F121" s="30">
        <f>F119-F120</f>
        <v>27442573.51125</v>
      </c>
      <c r="G121" s="30">
        <f>G119-G120</f>
        <v>33313759.552031249</v>
      </c>
      <c r="H121" s="6"/>
      <c r="I121" s="6"/>
      <c r="J121" s="6"/>
      <c r="K121" s="6"/>
      <c r="L121" s="6"/>
      <c r="M121" s="6"/>
    </row>
    <row r="122" spans="1:13" x14ac:dyDescent="0.25">
      <c r="A122" s="28" t="s">
        <v>96</v>
      </c>
      <c r="B122" s="21"/>
      <c r="C122" s="22">
        <f>C118</f>
        <v>26000000</v>
      </c>
      <c r="D122" s="22">
        <f>D118</f>
        <v>26000000</v>
      </c>
      <c r="E122" s="22">
        <f>E118</f>
        <v>26000000</v>
      </c>
      <c r="F122" s="22">
        <f>F118</f>
        <v>26000000</v>
      </c>
      <c r="G122" s="22">
        <f>G118</f>
        <v>26000000</v>
      </c>
      <c r="H122" s="6"/>
      <c r="I122" s="6"/>
      <c r="J122" s="6"/>
      <c r="K122" s="6"/>
      <c r="L122" s="6"/>
      <c r="M122" s="6"/>
    </row>
    <row r="123" spans="1:13" x14ac:dyDescent="0.25">
      <c r="A123" s="29" t="s">
        <v>97</v>
      </c>
      <c r="B123" s="21"/>
      <c r="C123" s="30">
        <f>C122+C121</f>
        <v>29936000</v>
      </c>
      <c r="D123" s="30">
        <f>D122+D121</f>
        <v>37208990</v>
      </c>
      <c r="E123" s="30">
        <f>E122+E121</f>
        <v>46767768.950000003</v>
      </c>
      <c r="F123" s="30">
        <f>F122+F121</f>
        <v>53442573.511250004</v>
      </c>
      <c r="G123" s="30">
        <f>G122+G121</f>
        <v>59313759.552031249</v>
      </c>
      <c r="H123" s="6"/>
      <c r="I123" s="6"/>
      <c r="J123" s="6"/>
      <c r="K123" s="6"/>
      <c r="L123" s="6"/>
      <c r="M123" s="6"/>
    </row>
    <row r="124" spans="1:13" x14ac:dyDescent="0.25">
      <c r="A124" s="28" t="s">
        <v>98</v>
      </c>
      <c r="B124" s="22">
        <f>B79+'Punto de Fabrica'!B85</f>
        <v>10000000</v>
      </c>
      <c r="C124" s="21"/>
      <c r="D124" s="21"/>
      <c r="E124" s="21"/>
      <c r="F124" s="21"/>
      <c r="G124" s="21"/>
      <c r="H124" s="6"/>
      <c r="I124" s="6"/>
      <c r="J124" s="6"/>
      <c r="K124" s="6"/>
      <c r="L124" s="6"/>
      <c r="M124" s="6"/>
    </row>
    <row r="125" spans="1:13" x14ac:dyDescent="0.25">
      <c r="A125" s="28" t="s">
        <v>99</v>
      </c>
      <c r="B125" s="22">
        <f>'Punto de Fabrica'!B82+'Punto de Fabrica'!B83</f>
        <v>120000000</v>
      </c>
      <c r="C125" s="21"/>
      <c r="D125" s="21"/>
      <c r="E125" s="21"/>
      <c r="F125" s="21"/>
      <c r="G125" s="21"/>
      <c r="H125" s="6"/>
      <c r="I125" s="6"/>
      <c r="J125" s="6"/>
      <c r="K125" s="6"/>
      <c r="L125" s="6"/>
      <c r="M125" s="6"/>
    </row>
    <row r="126" spans="1:13" x14ac:dyDescent="0.25">
      <c r="A126" s="28" t="s">
        <v>100</v>
      </c>
      <c r="B126" s="22">
        <f t="shared" ref="B126:G126" si="4">C75</f>
        <v>13537058.333333336</v>
      </c>
      <c r="C126" s="5">
        <f t="shared" si="4"/>
        <v>1409201.6666666642</v>
      </c>
      <c r="D126" s="5">
        <f t="shared" si="4"/>
        <v>1453583.6875</v>
      </c>
      <c r="E126" s="5">
        <f t="shared" si="4"/>
        <v>1592658.6374999993</v>
      </c>
      <c r="F126" s="5">
        <f t="shared" si="4"/>
        <v>1753366.3185937516</v>
      </c>
      <c r="G126" s="5">
        <f t="shared" si="4"/>
        <v>1920436.0609218776</v>
      </c>
      <c r="H126" s="6"/>
      <c r="I126" s="6"/>
      <c r="J126" s="6"/>
      <c r="K126" s="6"/>
      <c r="L126" s="6"/>
      <c r="M126" s="6"/>
    </row>
    <row r="127" spans="1:13" x14ac:dyDescent="0.25">
      <c r="A127" s="28" t="s">
        <v>101</v>
      </c>
      <c r="B127" s="22">
        <v>0</v>
      </c>
      <c r="C127" s="21"/>
      <c r="D127" s="21"/>
      <c r="E127" s="21"/>
      <c r="F127" s="21"/>
      <c r="G127" s="21"/>
      <c r="H127" s="6"/>
      <c r="I127" s="6"/>
      <c r="J127" s="6"/>
      <c r="K127" s="6"/>
      <c r="L127" s="6"/>
      <c r="M127" s="6"/>
    </row>
    <row r="128" spans="1:13" x14ac:dyDescent="0.25">
      <c r="A128" s="28" t="s">
        <v>102</v>
      </c>
      <c r="B128" s="21"/>
      <c r="C128" s="21"/>
      <c r="D128" s="21"/>
      <c r="E128" s="21"/>
      <c r="F128" s="21"/>
      <c r="G128" s="22">
        <f>SUM(B126:G126)</f>
        <v>21666304.704515629</v>
      </c>
      <c r="H128" s="6"/>
      <c r="I128" s="6"/>
      <c r="J128" s="6"/>
      <c r="K128" s="6"/>
      <c r="L128" s="6"/>
      <c r="M128" s="6"/>
    </row>
    <row r="129" spans="1:13" x14ac:dyDescent="0.25">
      <c r="A129" s="29" t="s">
        <v>103</v>
      </c>
      <c r="B129" s="30">
        <f t="shared" ref="B129:G129" si="5">B123-B124-B125-B126-B127+B128</f>
        <v>-143537058.33333334</v>
      </c>
      <c r="C129" s="30">
        <f t="shared" si="5"/>
        <v>28526798.333333336</v>
      </c>
      <c r="D129" s="30">
        <f t="shared" si="5"/>
        <v>35755406.3125</v>
      </c>
      <c r="E129" s="30">
        <f t="shared" si="5"/>
        <v>45175110.3125</v>
      </c>
      <c r="F129" s="30">
        <f t="shared" si="5"/>
        <v>51689207.192656249</v>
      </c>
      <c r="G129" s="30">
        <f t="shared" si="5"/>
        <v>79059628.195625007</v>
      </c>
      <c r="H129" s="19">
        <f>SUM(C129:G129)</f>
        <v>240206150.3466146</v>
      </c>
      <c r="I129" s="6"/>
      <c r="J129" s="6"/>
      <c r="K129" s="6"/>
      <c r="L129" s="6"/>
      <c r="M129" s="6"/>
    </row>
    <row r="130" spans="1:13" x14ac:dyDescent="0.25">
      <c r="A130" s="29" t="s">
        <v>104</v>
      </c>
      <c r="B130" s="30"/>
      <c r="C130" s="30">
        <f>PV($B$135,'Punto de Fabrica'!C105,,-C129)</f>
        <v>25106424.580595858</v>
      </c>
      <c r="D130" s="30">
        <f>PV($B$135,D105,,-D129)</f>
        <v>27695256.499577835</v>
      </c>
      <c r="E130" s="30">
        <f>PV($B$135,E105,,-E129)</f>
        <v>30796029.92280329</v>
      </c>
      <c r="F130" s="30">
        <f>PV($B$135,F105,,-F129)</f>
        <v>31011817.482293248</v>
      </c>
      <c r="G130" s="30">
        <f>PV($B$135,G105,,-G129)</f>
        <v>41745911.966529712</v>
      </c>
      <c r="H130" s="19">
        <f>SUM(C130:G130)</f>
        <v>156355440.45179993</v>
      </c>
      <c r="I130" s="19">
        <f>H130+B129</f>
        <v>12818382.118466586</v>
      </c>
      <c r="J130" s="6"/>
      <c r="K130" s="6"/>
      <c r="L130" s="6"/>
      <c r="M130" s="6"/>
    </row>
    <row r="131" spans="1:13" x14ac:dyDescent="0.25">
      <c r="A131" s="9"/>
      <c r="B131" s="21"/>
      <c r="C131" s="21"/>
      <c r="D131" s="21"/>
      <c r="E131" s="21"/>
      <c r="F131" s="21"/>
      <c r="G131" s="21"/>
      <c r="H131" s="6"/>
      <c r="I131" s="6"/>
      <c r="J131" s="6"/>
      <c r="K131" s="6"/>
      <c r="L131" s="6"/>
      <c r="M131" s="6"/>
    </row>
    <row r="132" spans="1:13" x14ac:dyDescent="0.25">
      <c r="A132" s="9"/>
      <c r="B132" s="21"/>
      <c r="C132" s="22"/>
      <c r="D132" s="22"/>
      <c r="E132" s="22"/>
      <c r="F132" s="22"/>
      <c r="G132" s="22"/>
      <c r="H132" s="6"/>
      <c r="I132" s="6"/>
      <c r="J132" s="6"/>
      <c r="K132" s="6"/>
      <c r="L132" s="6"/>
      <c r="M132" s="6"/>
    </row>
    <row r="133" spans="1:13" x14ac:dyDescent="0.25">
      <c r="A133" s="9"/>
      <c r="B133" s="22"/>
      <c r="C133" s="22"/>
      <c r="D133" s="22"/>
      <c r="E133" s="22"/>
      <c r="F133" s="22"/>
      <c r="G133" s="21"/>
      <c r="H133" s="6"/>
      <c r="I133" s="6"/>
      <c r="J133" s="6"/>
      <c r="K133" s="6"/>
      <c r="L133" s="6"/>
      <c r="M133" s="6"/>
    </row>
    <row r="134" spans="1:13" x14ac:dyDescent="0.25">
      <c r="A134" s="9"/>
      <c r="B134" s="21"/>
      <c r="C134" s="21"/>
      <c r="D134" s="21"/>
      <c r="E134" s="21"/>
      <c r="F134" s="21"/>
      <c r="G134" s="21"/>
      <c r="H134" s="6"/>
      <c r="I134" s="6"/>
      <c r="J134" s="6"/>
      <c r="K134" s="6"/>
      <c r="L134" s="6"/>
      <c r="M134" s="6"/>
    </row>
    <row r="135" spans="1:13" x14ac:dyDescent="0.25">
      <c r="A135" s="31" t="s">
        <v>105</v>
      </c>
      <c r="B135" s="32">
        <f>'Punto de Fabrica'!B95*'Punto de Fabrica'!B99*(1-'Punto de Fabrica'!B101)+'Punto de Fabrica'!B96*'Punto de Fabrica'!B103</f>
        <v>0.13623499999999999</v>
      </c>
      <c r="C135" s="33"/>
      <c r="D135" s="33"/>
      <c r="E135" s="33"/>
      <c r="F135" s="33"/>
      <c r="G135" s="34"/>
      <c r="H135" s="6"/>
      <c r="I135" s="6"/>
      <c r="J135" s="6"/>
      <c r="K135" s="6"/>
      <c r="L135" s="6"/>
      <c r="M135" s="6"/>
    </row>
    <row r="136" spans="1:13" x14ac:dyDescent="0.25">
      <c r="A136" s="35" t="s">
        <v>106</v>
      </c>
      <c r="B136" s="36">
        <f>NPV(B135,C129:G129)+B129</f>
        <v>12818382.118466616</v>
      </c>
      <c r="C136" s="11"/>
      <c r="D136" s="11"/>
      <c r="E136" s="11"/>
      <c r="F136" s="11"/>
      <c r="G136" s="37"/>
      <c r="H136" s="6"/>
      <c r="I136" s="6"/>
      <c r="J136" s="6"/>
      <c r="K136" s="6"/>
      <c r="L136" s="6"/>
      <c r="M136" s="6"/>
    </row>
    <row r="137" spans="1:13" x14ac:dyDescent="0.25">
      <c r="A137" s="35" t="s">
        <v>107</v>
      </c>
      <c r="B137" s="38">
        <f>IRR(B129:G129)</f>
        <v>0.16694991709103046</v>
      </c>
      <c r="C137" s="11"/>
      <c r="D137" s="11"/>
      <c r="E137" s="11"/>
      <c r="F137" s="11"/>
      <c r="G137" s="37"/>
      <c r="H137" s="6"/>
      <c r="I137" s="6"/>
      <c r="J137" s="6"/>
      <c r="K137" s="6"/>
      <c r="L137" s="6"/>
      <c r="M137" s="6"/>
    </row>
    <row r="138" spans="1:13" x14ac:dyDescent="0.25">
      <c r="A138" s="35"/>
      <c r="B138" s="39" t="s">
        <v>124</v>
      </c>
      <c r="C138" s="11">
        <v>1</v>
      </c>
      <c r="D138" s="11">
        <v>2</v>
      </c>
      <c r="E138" s="11">
        <v>3</v>
      </c>
      <c r="F138" s="11">
        <v>4</v>
      </c>
      <c r="G138" s="37">
        <v>5</v>
      </c>
      <c r="H138" s="6"/>
      <c r="I138" s="6"/>
      <c r="J138" s="6"/>
      <c r="K138" s="6"/>
      <c r="L138" s="6"/>
      <c r="M138" s="6"/>
    </row>
    <row r="139" spans="1:13" x14ac:dyDescent="0.25">
      <c r="A139" s="35" t="s">
        <v>108</v>
      </c>
      <c r="B139" s="40">
        <f>-B129</f>
        <v>143537058.33333334</v>
      </c>
      <c r="C139" s="40">
        <f>B139*(1+$B$135)-C129</f>
        <v>134565031.14204168</v>
      </c>
      <c r="D139" s="40">
        <f>C139*(1+$B$135)-D129</f>
        <v>117142091.84717774</v>
      </c>
      <c r="E139" s="40">
        <f>D139*(1+$B$135)-E129</f>
        <v>87925834.41747801</v>
      </c>
      <c r="F139" s="40">
        <f>E139*(1+$B$135)-F129</f>
        <v>48215203.276686892</v>
      </c>
      <c r="G139" s="41">
        <f>F139*(1+$B$135)-G129</f>
        <v>-24275826.700538673</v>
      </c>
      <c r="H139" s="6"/>
      <c r="I139" s="6"/>
      <c r="J139" s="6"/>
      <c r="K139" s="6"/>
      <c r="L139" s="6"/>
      <c r="M139" s="6"/>
    </row>
    <row r="140" spans="1:13" x14ac:dyDescent="0.25">
      <c r="A140" s="35" t="s">
        <v>109</v>
      </c>
      <c r="B140" s="38">
        <f>MIRR(B129:G129,B135,B135)</f>
        <v>0.15584062311686409</v>
      </c>
      <c r="C140" s="11"/>
      <c r="D140" s="11"/>
      <c r="E140" s="11"/>
      <c r="F140" s="11"/>
      <c r="G140" s="37"/>
      <c r="H140" s="6"/>
      <c r="I140" s="6"/>
      <c r="J140" s="6"/>
      <c r="K140" s="6"/>
      <c r="L140" s="6"/>
      <c r="M140" s="6"/>
    </row>
    <row r="141" spans="1:13" x14ac:dyDescent="0.25">
      <c r="A141" s="35"/>
      <c r="B141" s="38" t="s">
        <v>124</v>
      </c>
      <c r="C141" s="11">
        <v>1</v>
      </c>
      <c r="D141" s="11">
        <v>2</v>
      </c>
      <c r="E141" s="11">
        <v>3</v>
      </c>
      <c r="F141" s="11">
        <v>4</v>
      </c>
      <c r="G141" s="37">
        <v>5</v>
      </c>
      <c r="H141" s="6"/>
      <c r="I141" s="6"/>
      <c r="J141" s="6"/>
      <c r="K141" s="6"/>
      <c r="L141" s="6"/>
      <c r="M141" s="6"/>
    </row>
    <row r="142" spans="1:13" x14ac:dyDescent="0.25">
      <c r="A142" s="35" t="s">
        <v>110</v>
      </c>
      <c r="B142" s="40">
        <f>-B129</f>
        <v>143537058.33333334</v>
      </c>
      <c r="C142" s="40">
        <f>B142-C129</f>
        <v>115010260</v>
      </c>
      <c r="D142" s="40">
        <f>C142-D129</f>
        <v>79254853.6875</v>
      </c>
      <c r="E142" s="40">
        <f>D142-E129</f>
        <v>34079743.375</v>
      </c>
      <c r="F142" s="40">
        <f>E142-F129</f>
        <v>-17609463.817656249</v>
      </c>
      <c r="G142" s="41">
        <f>F142-G129</f>
        <v>-96669092.013281256</v>
      </c>
      <c r="H142" s="6"/>
      <c r="I142" s="6"/>
      <c r="J142" s="6"/>
      <c r="K142" s="6"/>
      <c r="L142" s="6"/>
      <c r="M142" s="6"/>
    </row>
    <row r="143" spans="1:13" x14ac:dyDescent="0.25">
      <c r="A143" s="35" t="s">
        <v>111</v>
      </c>
      <c r="B143" s="42">
        <f>3+(B142-SUM(C129:E129))/F129</f>
        <v>3.6593202957820155</v>
      </c>
      <c r="C143" s="11"/>
      <c r="D143" s="11"/>
      <c r="E143" s="11"/>
      <c r="F143" s="11"/>
      <c r="G143" s="37"/>
      <c r="H143" s="6"/>
      <c r="I143" s="6"/>
      <c r="J143" s="6"/>
      <c r="K143" s="6"/>
      <c r="L143" s="6"/>
      <c r="M143" s="6"/>
    </row>
    <row r="144" spans="1:13" x14ac:dyDescent="0.25">
      <c r="A144" s="35" t="s">
        <v>112</v>
      </c>
      <c r="B144" s="42">
        <f>B143*12</f>
        <v>43.911843549384187</v>
      </c>
      <c r="C144" s="11"/>
      <c r="D144" s="11"/>
      <c r="E144" s="11"/>
      <c r="F144" s="11"/>
      <c r="G144" s="37"/>
      <c r="H144" s="6"/>
      <c r="I144" s="6"/>
      <c r="J144" s="6"/>
      <c r="K144" s="6"/>
      <c r="L144" s="6"/>
      <c r="M144" s="6"/>
    </row>
    <row r="145" spans="1:13" x14ac:dyDescent="0.25">
      <c r="A145" s="35" t="s">
        <v>113</v>
      </c>
      <c r="B145" s="42">
        <f>4+((B139-SUM(C130:F130))/G130)</f>
        <v>4.6929428172812733</v>
      </c>
      <c r="C145" s="11"/>
      <c r="D145" s="11"/>
      <c r="E145" s="11"/>
      <c r="F145" s="11"/>
      <c r="G145" s="37"/>
      <c r="H145" s="6"/>
      <c r="I145" s="6"/>
      <c r="J145" s="6"/>
      <c r="K145" s="6"/>
      <c r="L145" s="6"/>
      <c r="M145" s="6"/>
    </row>
    <row r="146" spans="1:13" x14ac:dyDescent="0.25">
      <c r="A146" s="43" t="s">
        <v>114</v>
      </c>
      <c r="B146" s="44">
        <f>B145*12</f>
        <v>56.315313807375276</v>
      </c>
      <c r="C146" s="12"/>
      <c r="D146" s="12"/>
      <c r="E146" s="12"/>
      <c r="F146" s="12"/>
      <c r="G146" s="45"/>
      <c r="H146" s="6"/>
      <c r="I146" s="6"/>
      <c r="J146" s="6"/>
      <c r="K146" s="6"/>
      <c r="L146" s="6"/>
      <c r="M146" s="6"/>
    </row>
    <row r="147" spans="1:13" ht="18.75" x14ac:dyDescent="0.3">
      <c r="A147" s="3"/>
      <c r="B147" s="4"/>
      <c r="C147" s="3"/>
      <c r="D147" s="3"/>
      <c r="E147" s="3"/>
      <c r="F147" s="3"/>
      <c r="G147" s="3"/>
    </row>
    <row r="148" spans="1:13" ht="18.75" x14ac:dyDescent="0.3">
      <c r="A148" s="3"/>
      <c r="B148" s="4"/>
      <c r="C148" s="3"/>
      <c r="D148" s="3"/>
      <c r="E148" s="3"/>
      <c r="F148" s="3"/>
      <c r="G148" s="3"/>
    </row>
  </sheetData>
  <pageMargins left="0.75" right="0.75" top="1" bottom="1" header="0.5" footer="0.5"/>
  <pageSetup orientation="portrait" horizontalDpi="4294967292" verticalDpi="4294967292" r:id="rId1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3"/>
  <sheetViews>
    <sheetView workbookViewId="0">
      <selection activeCell="B7" sqref="B7"/>
    </sheetView>
  </sheetViews>
  <sheetFormatPr baseColWidth="10" defaultRowHeight="15.75" x14ac:dyDescent="0.25"/>
  <cols>
    <col min="1" max="1" width="23.25" customWidth="1"/>
    <col min="2" max="3" width="16" bestFit="1" customWidth="1"/>
    <col min="4" max="4" width="16.125" customWidth="1"/>
    <col min="5" max="5" width="21" customWidth="1"/>
    <col min="6" max="6" width="14.125" customWidth="1"/>
    <col min="8" max="8" width="13.5" customWidth="1"/>
    <col min="9" max="13" width="12.25" bestFit="1" customWidth="1"/>
  </cols>
  <sheetData>
    <row r="1" spans="1:13" x14ac:dyDescent="0.25">
      <c r="A1" t="s">
        <v>252</v>
      </c>
    </row>
    <row r="2" spans="1:13" x14ac:dyDescent="0.25">
      <c r="A2" s="6" t="s">
        <v>125</v>
      </c>
      <c r="B2" s="6"/>
      <c r="C2" s="6"/>
      <c r="D2" s="6"/>
      <c r="E2" s="6"/>
      <c r="F2" s="6"/>
      <c r="G2" s="6"/>
      <c r="H2" s="6" t="s">
        <v>148</v>
      </c>
      <c r="I2" s="6"/>
      <c r="J2" s="6"/>
      <c r="K2" s="6"/>
      <c r="L2" s="6"/>
      <c r="M2" s="6"/>
    </row>
    <row r="3" spans="1:13" x14ac:dyDescent="0.25">
      <c r="A3" s="6" t="s">
        <v>126</v>
      </c>
      <c r="B3" s="6"/>
      <c r="C3" s="6"/>
      <c r="D3" s="6"/>
      <c r="E3" s="6"/>
      <c r="F3" s="6"/>
      <c r="G3" s="6"/>
      <c r="H3" s="6" t="s">
        <v>126</v>
      </c>
      <c r="I3" s="6"/>
      <c r="J3" s="6"/>
      <c r="K3" s="6"/>
      <c r="L3" s="6"/>
      <c r="M3" s="6"/>
    </row>
    <row r="4" spans="1:13" x14ac:dyDescent="0.25">
      <c r="A4" s="6" t="s">
        <v>127</v>
      </c>
      <c r="B4" s="6" t="s">
        <v>128</v>
      </c>
      <c r="C4" s="6" t="s">
        <v>129</v>
      </c>
      <c r="D4" s="6" t="s">
        <v>130</v>
      </c>
      <c r="E4" s="6" t="s">
        <v>131</v>
      </c>
      <c r="F4" s="6" t="s">
        <v>132</v>
      </c>
      <c r="G4" s="6"/>
      <c r="H4" s="6" t="s">
        <v>127</v>
      </c>
      <c r="I4" s="6" t="s">
        <v>128</v>
      </c>
      <c r="J4" s="6" t="s">
        <v>129</v>
      </c>
      <c r="K4" s="6" t="s">
        <v>130</v>
      </c>
      <c r="L4" s="6" t="s">
        <v>131</v>
      </c>
      <c r="M4" s="6" t="s">
        <v>132</v>
      </c>
    </row>
    <row r="5" spans="1:13" x14ac:dyDescent="0.25">
      <c r="A5" s="6" t="s">
        <v>133</v>
      </c>
      <c r="B5" s="6">
        <v>0</v>
      </c>
      <c r="C5" s="6">
        <v>3150</v>
      </c>
      <c r="D5" s="6">
        <f>D17/12</f>
        <v>3339</v>
      </c>
      <c r="E5" s="6">
        <v>3439</v>
      </c>
      <c r="F5" s="6">
        <v>3508</v>
      </c>
      <c r="G5" s="6"/>
      <c r="H5" s="6" t="s">
        <v>133</v>
      </c>
      <c r="I5" s="6">
        <v>0</v>
      </c>
      <c r="J5" s="6">
        <v>174.16666666666666</v>
      </c>
      <c r="K5" s="6">
        <v>182</v>
      </c>
      <c r="L5" s="6">
        <v>190.16666666666666</v>
      </c>
      <c r="M5" s="6">
        <v>198.75</v>
      </c>
    </row>
    <row r="6" spans="1:13" x14ac:dyDescent="0.25">
      <c r="A6" s="6" t="s">
        <v>134</v>
      </c>
      <c r="B6" s="6">
        <v>0</v>
      </c>
      <c r="C6" s="6">
        <v>3150</v>
      </c>
      <c r="D6" s="6">
        <v>3339</v>
      </c>
      <c r="E6" s="6">
        <v>3439</v>
      </c>
      <c r="F6" s="6">
        <v>3508</v>
      </c>
      <c r="G6" s="6"/>
      <c r="H6" s="6" t="s">
        <v>134</v>
      </c>
      <c r="I6" s="6">
        <v>0</v>
      </c>
      <c r="J6" s="6">
        <v>174.16666666666666</v>
      </c>
      <c r="K6" s="6">
        <v>182</v>
      </c>
      <c r="L6" s="6">
        <v>190.16666666666666</v>
      </c>
      <c r="M6" s="6">
        <v>198.75</v>
      </c>
    </row>
    <row r="7" spans="1:13" x14ac:dyDescent="0.25">
      <c r="A7" s="6" t="s">
        <v>135</v>
      </c>
      <c r="B7" s="6">
        <v>0</v>
      </c>
      <c r="C7" s="6">
        <v>3150</v>
      </c>
      <c r="D7" s="6">
        <v>3339</v>
      </c>
      <c r="E7" s="6">
        <v>3439</v>
      </c>
      <c r="F7" s="6">
        <v>3508</v>
      </c>
      <c r="G7" s="6"/>
      <c r="H7" s="6" t="s">
        <v>135</v>
      </c>
      <c r="I7" s="6">
        <v>0</v>
      </c>
      <c r="J7" s="6">
        <v>174.16666666666666</v>
      </c>
      <c r="K7" s="6">
        <v>182</v>
      </c>
      <c r="L7" s="6">
        <v>190.16666666666666</v>
      </c>
      <c r="M7" s="6">
        <v>198.75</v>
      </c>
    </row>
    <row r="8" spans="1:13" x14ac:dyDescent="0.25">
      <c r="A8" s="6" t="s">
        <v>136</v>
      </c>
      <c r="B8" s="6">
        <v>4000</v>
      </c>
      <c r="C8" s="6">
        <v>3150</v>
      </c>
      <c r="D8" s="6">
        <v>3339</v>
      </c>
      <c r="E8" s="6">
        <v>3439</v>
      </c>
      <c r="F8" s="6">
        <v>3508</v>
      </c>
      <c r="G8" s="6"/>
      <c r="H8" s="6" t="s">
        <v>136</v>
      </c>
      <c r="I8" s="6">
        <v>222.22222222222223</v>
      </c>
      <c r="J8" s="6">
        <v>174.16666666666666</v>
      </c>
      <c r="K8" s="6">
        <v>182</v>
      </c>
      <c r="L8" s="6">
        <v>190.16666666666666</v>
      </c>
      <c r="M8" s="6">
        <v>198.75</v>
      </c>
    </row>
    <row r="9" spans="1:13" x14ac:dyDescent="0.25">
      <c r="A9" s="6" t="s">
        <v>137</v>
      </c>
      <c r="B9" s="6">
        <v>4000</v>
      </c>
      <c r="C9" s="6">
        <v>3150</v>
      </c>
      <c r="D9" s="6">
        <v>3339</v>
      </c>
      <c r="E9" s="6">
        <v>3439</v>
      </c>
      <c r="F9" s="6">
        <v>3508</v>
      </c>
      <c r="G9" s="6"/>
      <c r="H9" s="6" t="s">
        <v>137</v>
      </c>
      <c r="I9" s="6">
        <v>222.22222222222223</v>
      </c>
      <c r="J9" s="6">
        <v>174.16666666666666</v>
      </c>
      <c r="K9" s="6">
        <v>182</v>
      </c>
      <c r="L9" s="6">
        <v>190.16666666666666</v>
      </c>
      <c r="M9" s="6">
        <v>198.75</v>
      </c>
    </row>
    <row r="10" spans="1:13" x14ac:dyDescent="0.25">
      <c r="A10" s="6" t="s">
        <v>138</v>
      </c>
      <c r="B10" s="6">
        <v>4000</v>
      </c>
      <c r="C10" s="6">
        <v>3150</v>
      </c>
      <c r="D10" s="6">
        <v>3339</v>
      </c>
      <c r="E10" s="6">
        <v>3439</v>
      </c>
      <c r="F10" s="6">
        <v>3508</v>
      </c>
      <c r="G10" s="6"/>
      <c r="H10" s="6" t="s">
        <v>138</v>
      </c>
      <c r="I10" s="6">
        <v>222.22222222222223</v>
      </c>
      <c r="J10" s="6">
        <v>174.16666666666666</v>
      </c>
      <c r="K10" s="6">
        <v>182</v>
      </c>
      <c r="L10" s="6">
        <v>190.16666666666666</v>
      </c>
      <c r="M10" s="6">
        <v>198.75</v>
      </c>
    </row>
    <row r="11" spans="1:13" x14ac:dyDescent="0.25">
      <c r="A11" s="6" t="s">
        <v>139</v>
      </c>
      <c r="B11" s="6">
        <v>4000</v>
      </c>
      <c r="C11" s="6">
        <v>3150</v>
      </c>
      <c r="D11" s="6">
        <v>3339</v>
      </c>
      <c r="E11" s="6">
        <v>3439</v>
      </c>
      <c r="F11" s="6">
        <v>3508</v>
      </c>
      <c r="G11" s="6"/>
      <c r="H11" s="6" t="s">
        <v>139</v>
      </c>
      <c r="I11" s="6">
        <v>222.22222222222223</v>
      </c>
      <c r="J11" s="6">
        <v>174.16666666666666</v>
      </c>
      <c r="K11" s="6">
        <v>182</v>
      </c>
      <c r="L11" s="6">
        <v>190.16666666666666</v>
      </c>
      <c r="M11" s="6">
        <v>198.75</v>
      </c>
    </row>
    <row r="12" spans="1:13" x14ac:dyDescent="0.25">
      <c r="A12" s="6" t="s">
        <v>140</v>
      </c>
      <c r="B12" s="6">
        <v>4000</v>
      </c>
      <c r="C12" s="6">
        <v>3150</v>
      </c>
      <c r="D12" s="6">
        <v>3339</v>
      </c>
      <c r="E12" s="6">
        <v>3439</v>
      </c>
      <c r="F12" s="6">
        <v>3508</v>
      </c>
      <c r="G12" s="6"/>
      <c r="H12" s="6" t="s">
        <v>140</v>
      </c>
      <c r="I12" s="6">
        <v>222.22222222222223</v>
      </c>
      <c r="J12" s="6">
        <v>174.16666666666666</v>
      </c>
      <c r="K12" s="6">
        <v>182</v>
      </c>
      <c r="L12" s="6">
        <v>190.16666666666666</v>
      </c>
      <c r="M12" s="6">
        <v>198.75</v>
      </c>
    </row>
    <row r="13" spans="1:13" x14ac:dyDescent="0.25">
      <c r="A13" s="6" t="s">
        <v>141</v>
      </c>
      <c r="B13" s="6">
        <v>4000</v>
      </c>
      <c r="C13" s="6">
        <v>3150</v>
      </c>
      <c r="D13" s="6">
        <v>3339</v>
      </c>
      <c r="E13" s="6">
        <v>3439</v>
      </c>
      <c r="F13" s="6">
        <v>3508</v>
      </c>
      <c r="G13" s="6"/>
      <c r="H13" s="6" t="s">
        <v>141</v>
      </c>
      <c r="I13" s="6">
        <v>222.22222222222223</v>
      </c>
      <c r="J13" s="6">
        <v>174.16666666666666</v>
      </c>
      <c r="K13" s="6">
        <v>182</v>
      </c>
      <c r="L13" s="6">
        <v>190.16666666666666</v>
      </c>
      <c r="M13" s="6">
        <v>198.75</v>
      </c>
    </row>
    <row r="14" spans="1:13" x14ac:dyDescent="0.25">
      <c r="A14" s="6" t="s">
        <v>142</v>
      </c>
      <c r="B14" s="6">
        <v>4000</v>
      </c>
      <c r="C14" s="6">
        <v>3150</v>
      </c>
      <c r="D14" s="6">
        <v>3339</v>
      </c>
      <c r="E14" s="6">
        <v>3439</v>
      </c>
      <c r="F14" s="6">
        <v>3508</v>
      </c>
      <c r="G14" s="6"/>
      <c r="H14" s="6" t="s">
        <v>142</v>
      </c>
      <c r="I14" s="6">
        <v>222.22222222222223</v>
      </c>
      <c r="J14" s="6">
        <v>174.16666666666666</v>
      </c>
      <c r="K14" s="6">
        <v>182</v>
      </c>
      <c r="L14" s="6">
        <v>190.16666666666666</v>
      </c>
      <c r="M14" s="6">
        <v>198.75</v>
      </c>
    </row>
    <row r="15" spans="1:13" x14ac:dyDescent="0.25">
      <c r="A15" s="6" t="s">
        <v>143</v>
      </c>
      <c r="B15" s="6">
        <v>4000</v>
      </c>
      <c r="C15" s="6">
        <v>3150</v>
      </c>
      <c r="D15" s="6">
        <v>3339</v>
      </c>
      <c r="E15" s="6">
        <v>3439</v>
      </c>
      <c r="F15" s="6">
        <v>3508</v>
      </c>
      <c r="G15" s="6"/>
      <c r="H15" s="6" t="s">
        <v>143</v>
      </c>
      <c r="I15" s="6">
        <v>222.22222222222223</v>
      </c>
      <c r="J15" s="6">
        <v>174.16666666666666</v>
      </c>
      <c r="K15" s="6">
        <v>182</v>
      </c>
      <c r="L15" s="6">
        <v>190.16666666666666</v>
      </c>
      <c r="M15" s="6">
        <v>198.75</v>
      </c>
    </row>
    <row r="16" spans="1:13" x14ac:dyDescent="0.25">
      <c r="A16" s="6" t="s">
        <v>144</v>
      </c>
      <c r="B16" s="6">
        <v>4000</v>
      </c>
      <c r="C16" s="6">
        <v>3150</v>
      </c>
      <c r="D16" s="6">
        <v>3339</v>
      </c>
      <c r="E16" s="6">
        <v>3439</v>
      </c>
      <c r="F16" s="6">
        <v>3508</v>
      </c>
      <c r="G16" s="6"/>
      <c r="H16" s="6" t="s">
        <v>144</v>
      </c>
      <c r="I16" s="6">
        <v>222.22222222222223</v>
      </c>
      <c r="J16" s="6">
        <v>174.16666666666666</v>
      </c>
      <c r="K16" s="6">
        <v>182</v>
      </c>
      <c r="L16" s="6">
        <v>190.16666666666666</v>
      </c>
      <c r="M16" s="6">
        <v>198.75</v>
      </c>
    </row>
    <row r="17" spans="1:13" x14ac:dyDescent="0.25">
      <c r="A17" s="6" t="s">
        <v>145</v>
      </c>
      <c r="B17" s="6">
        <f>SUM(B5:B16)</f>
        <v>36000</v>
      </c>
      <c r="C17" s="6">
        <f>SUM(C5:C16)</f>
        <v>37800</v>
      </c>
      <c r="D17" s="6">
        <v>40068</v>
      </c>
      <c r="E17" s="6">
        <f>'Punto de Fabrica'!F109</f>
        <v>41270</v>
      </c>
      <c r="F17" s="6">
        <v>42095</v>
      </c>
      <c r="G17" s="6"/>
      <c r="H17" s="6" t="s">
        <v>145</v>
      </c>
      <c r="I17" s="6">
        <v>2000</v>
      </c>
      <c r="J17" s="6">
        <v>2090</v>
      </c>
      <c r="K17" s="6">
        <v>2184</v>
      </c>
      <c r="L17" s="6">
        <v>2282</v>
      </c>
      <c r="M17" s="6">
        <v>2385</v>
      </c>
    </row>
    <row r="18" spans="1:13" x14ac:dyDescent="0.25">
      <c r="A18" s="6" t="s">
        <v>146</v>
      </c>
      <c r="B18" s="7">
        <f>5000</f>
        <v>5000</v>
      </c>
      <c r="C18" s="7">
        <v>5250</v>
      </c>
      <c r="D18" s="5">
        <v>5513</v>
      </c>
      <c r="E18" s="5">
        <v>5788</v>
      </c>
      <c r="F18" s="5">
        <v>6078</v>
      </c>
      <c r="G18" s="6"/>
      <c r="H18" s="6" t="s">
        <v>146</v>
      </c>
      <c r="I18" s="5">
        <v>8000</v>
      </c>
      <c r="J18" s="5">
        <v>8400</v>
      </c>
      <c r="K18" s="5">
        <v>8820</v>
      </c>
      <c r="L18" s="5">
        <v>9261</v>
      </c>
      <c r="M18" s="5">
        <v>9724</v>
      </c>
    </row>
    <row r="19" spans="1:13" x14ac:dyDescent="0.25">
      <c r="A19" s="6" t="s">
        <v>149</v>
      </c>
      <c r="B19" s="7">
        <f>B18*B17</f>
        <v>180000000</v>
      </c>
      <c r="C19" s="7">
        <f>C17*C18</f>
        <v>198450000</v>
      </c>
      <c r="D19" s="5">
        <f>D17*D18</f>
        <v>220894884</v>
      </c>
      <c r="E19" s="5">
        <f t="shared" ref="E19:F19" si="0">E17*E18</f>
        <v>238870760</v>
      </c>
      <c r="F19" s="5">
        <f t="shared" si="0"/>
        <v>255853410</v>
      </c>
      <c r="G19" s="6"/>
      <c r="H19" s="6" t="s">
        <v>147</v>
      </c>
      <c r="I19" s="5">
        <f>I17*I18</f>
        <v>16000000</v>
      </c>
      <c r="J19" s="5">
        <f t="shared" ref="J19:M19" si="1">J17*J18</f>
        <v>17556000</v>
      </c>
      <c r="K19" s="5">
        <f t="shared" si="1"/>
        <v>19262880</v>
      </c>
      <c r="L19" s="5">
        <f t="shared" si="1"/>
        <v>21133602</v>
      </c>
      <c r="M19" s="5">
        <f t="shared" si="1"/>
        <v>23191740</v>
      </c>
    </row>
    <row r="20" spans="1:13" x14ac:dyDescent="0.25">
      <c r="A20" s="6" t="s">
        <v>150</v>
      </c>
      <c r="B20" s="7">
        <f>B19/12</f>
        <v>15000000</v>
      </c>
      <c r="C20" s="8">
        <f>C19/12</f>
        <v>16537500</v>
      </c>
      <c r="D20" s="5">
        <f>D19/12</f>
        <v>18407907</v>
      </c>
      <c r="E20" s="5">
        <f t="shared" ref="E20:F20" si="2">E19/12</f>
        <v>19905896.666666668</v>
      </c>
      <c r="F20" s="5">
        <f t="shared" si="2"/>
        <v>21321117.5</v>
      </c>
      <c r="G20" s="6"/>
      <c r="H20" s="6" t="s">
        <v>151</v>
      </c>
      <c r="I20" s="5">
        <f>I19/12</f>
        <v>1333333.3333333333</v>
      </c>
      <c r="J20" s="5">
        <f t="shared" ref="J20:M20" si="3">J19/12</f>
        <v>1463000</v>
      </c>
      <c r="K20" s="5">
        <f t="shared" si="3"/>
        <v>1605240</v>
      </c>
      <c r="L20" s="5">
        <f t="shared" si="3"/>
        <v>1761133.5</v>
      </c>
      <c r="M20" s="5">
        <f t="shared" si="3"/>
        <v>1932645</v>
      </c>
    </row>
    <row r="21" spans="1:13" x14ac:dyDescent="0.2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</row>
    <row r="22" spans="1:13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</row>
    <row r="23" spans="1:13" x14ac:dyDescent="0.25">
      <c r="A23" s="6" t="s">
        <v>126</v>
      </c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</row>
    <row r="24" spans="1:13" x14ac:dyDescent="0.25">
      <c r="A24" s="6" t="s">
        <v>152</v>
      </c>
      <c r="B24" s="6" t="s">
        <v>128</v>
      </c>
      <c r="C24" s="6" t="s">
        <v>129</v>
      </c>
      <c r="D24" s="6" t="s">
        <v>130</v>
      </c>
      <c r="E24" s="6" t="s">
        <v>154</v>
      </c>
      <c r="F24" s="6" t="s">
        <v>132</v>
      </c>
      <c r="G24" s="6"/>
      <c r="H24" s="6"/>
      <c r="I24" s="6"/>
      <c r="J24" s="6"/>
      <c r="K24" s="6"/>
      <c r="L24" s="6"/>
      <c r="M24" s="6"/>
    </row>
    <row r="25" spans="1:13" x14ac:dyDescent="0.25">
      <c r="A25" s="6" t="s">
        <v>73</v>
      </c>
      <c r="B25" s="6">
        <v>36000</v>
      </c>
      <c r="C25" s="6">
        <v>37800</v>
      </c>
      <c r="D25" s="6">
        <v>40068</v>
      </c>
      <c r="E25" s="6">
        <v>41270</v>
      </c>
      <c r="F25" s="6">
        <v>42095</v>
      </c>
      <c r="G25" s="6"/>
      <c r="H25" s="6"/>
      <c r="I25" s="6"/>
      <c r="J25" s="6"/>
      <c r="K25" s="6"/>
      <c r="L25" s="6"/>
      <c r="M25" s="6"/>
    </row>
    <row r="26" spans="1:13" x14ac:dyDescent="0.25">
      <c r="A26" s="6" t="s">
        <v>153</v>
      </c>
      <c r="B26" s="6">
        <v>2000</v>
      </c>
      <c r="C26" s="6">
        <v>2090</v>
      </c>
      <c r="D26" s="6">
        <v>2184</v>
      </c>
      <c r="E26" s="6">
        <v>2282</v>
      </c>
      <c r="F26" s="6">
        <v>2385</v>
      </c>
      <c r="G26" s="6"/>
      <c r="H26" s="6"/>
      <c r="I26" s="6"/>
      <c r="J26" s="6"/>
      <c r="K26" s="6"/>
      <c r="L26" s="6"/>
      <c r="M26" s="6"/>
    </row>
    <row r="27" spans="1:13" x14ac:dyDescent="0.2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</row>
    <row r="28" spans="1:13" x14ac:dyDescent="0.25">
      <c r="A28" s="6" t="s">
        <v>155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</row>
    <row r="29" spans="1:13" x14ac:dyDescent="0.25">
      <c r="A29" s="6" t="s">
        <v>152</v>
      </c>
      <c r="B29" s="6" t="s">
        <v>128</v>
      </c>
      <c r="C29" s="6" t="s">
        <v>129</v>
      </c>
      <c r="D29" s="6" t="s">
        <v>130</v>
      </c>
      <c r="E29" s="6" t="s">
        <v>154</v>
      </c>
      <c r="F29" s="6" t="s">
        <v>132</v>
      </c>
      <c r="G29" s="6"/>
      <c r="H29" s="6"/>
      <c r="I29" s="6"/>
      <c r="J29" s="6"/>
      <c r="K29" s="6"/>
      <c r="L29" s="6"/>
      <c r="M29" s="6"/>
    </row>
    <row r="30" spans="1:13" x14ac:dyDescent="0.25">
      <c r="A30" s="6" t="s">
        <v>73</v>
      </c>
      <c r="B30" s="7">
        <v>180000000</v>
      </c>
      <c r="C30" s="7">
        <v>198450000</v>
      </c>
      <c r="D30" s="5">
        <v>220894884</v>
      </c>
      <c r="E30" s="5">
        <v>238870760</v>
      </c>
      <c r="F30" s="5">
        <v>255853410</v>
      </c>
      <c r="G30" s="6"/>
      <c r="H30" s="6"/>
      <c r="I30" s="6"/>
      <c r="J30" s="6"/>
      <c r="K30" s="6"/>
      <c r="L30" s="6"/>
      <c r="M30" s="6"/>
    </row>
    <row r="31" spans="1:13" x14ac:dyDescent="0.25">
      <c r="A31" s="6" t="s">
        <v>153</v>
      </c>
      <c r="B31" s="5">
        <v>16000000</v>
      </c>
      <c r="C31" s="5">
        <v>17556000</v>
      </c>
      <c r="D31" s="5">
        <v>19262880</v>
      </c>
      <c r="E31" s="5">
        <v>21133602</v>
      </c>
      <c r="F31" s="5">
        <v>23191740</v>
      </c>
      <c r="G31" s="6"/>
      <c r="H31" s="6"/>
      <c r="I31" s="6"/>
      <c r="J31" s="6"/>
      <c r="K31" s="6"/>
      <c r="L31" s="6"/>
      <c r="M31" s="6"/>
    </row>
    <row r="32" spans="1:13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</row>
    <row r="33" spans="1:13" x14ac:dyDescent="0.2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</row>
    <row r="34" spans="1:13" x14ac:dyDescent="0.2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</row>
    <row r="35" spans="1:13" x14ac:dyDescent="0.2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</row>
    <row r="36" spans="1:13" x14ac:dyDescent="0.2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</row>
    <row r="37" spans="1:13" x14ac:dyDescent="0.2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</row>
    <row r="38" spans="1:13" x14ac:dyDescent="0.2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</row>
    <row r="39" spans="1:13" x14ac:dyDescent="0.2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</row>
    <row r="40" spans="1:13" x14ac:dyDescent="0.2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</row>
    <row r="41" spans="1:13" x14ac:dyDescent="0.2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</row>
    <row r="42" spans="1:13" x14ac:dyDescent="0.2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</row>
    <row r="43" spans="1:13" x14ac:dyDescent="0.2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148"/>
  <sheetViews>
    <sheetView zoomScale="50" zoomScaleNormal="50" workbookViewId="0">
      <selection activeCell="C2" sqref="C2"/>
    </sheetView>
  </sheetViews>
  <sheetFormatPr baseColWidth="10" defaultColWidth="10.875" defaultRowHeight="15.75" x14ac:dyDescent="0.25"/>
  <cols>
    <col min="1" max="1" width="45" style="2" customWidth="1"/>
    <col min="2" max="2" width="24.125" style="1" bestFit="1" customWidth="1"/>
    <col min="3" max="13" width="18.875" style="2" customWidth="1"/>
    <col min="14" max="15" width="10.875" style="2"/>
    <col min="16" max="16" width="14.625" style="2" bestFit="1" customWidth="1"/>
    <col min="17" max="18" width="13.625" style="2" bestFit="1" customWidth="1"/>
    <col min="19" max="20" width="14.625" style="2" bestFit="1" customWidth="1"/>
    <col min="21" max="16384" width="10.875" style="2"/>
  </cols>
  <sheetData>
    <row r="1" spans="1:13" x14ac:dyDescent="0.25">
      <c r="A1" s="17" t="s">
        <v>122</v>
      </c>
      <c r="B1" s="13" t="s">
        <v>62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 x14ac:dyDescent="0.25">
      <c r="A2" s="6" t="s">
        <v>233</v>
      </c>
      <c r="B2" s="13" t="s">
        <v>0</v>
      </c>
      <c r="C2" s="6">
        <v>5</v>
      </c>
      <c r="D2" s="6" t="s">
        <v>1</v>
      </c>
      <c r="E2" s="6" t="s">
        <v>60</v>
      </c>
      <c r="F2" s="6" t="s">
        <v>61</v>
      </c>
      <c r="G2" s="6"/>
      <c r="H2" s="6"/>
      <c r="I2" s="6"/>
      <c r="J2" s="6"/>
      <c r="K2" s="6"/>
      <c r="L2" s="6"/>
      <c r="M2" s="6"/>
    </row>
    <row r="3" spans="1:13" x14ac:dyDescent="0.25">
      <c r="A3" s="6"/>
      <c r="B3" s="13" t="s">
        <v>2</v>
      </c>
      <c r="C3" s="14">
        <v>36000</v>
      </c>
      <c r="D3" s="6" t="s">
        <v>3</v>
      </c>
      <c r="E3" s="6">
        <f>C3/12</f>
        <v>3000</v>
      </c>
      <c r="F3" s="6">
        <f>E3/30</f>
        <v>100</v>
      </c>
      <c r="G3" s="5">
        <f>E3*C6</f>
        <v>13500000</v>
      </c>
      <c r="H3" s="6"/>
      <c r="I3" s="6"/>
      <c r="J3" s="6"/>
      <c r="K3" s="6"/>
      <c r="L3" s="6"/>
      <c r="M3" s="6"/>
    </row>
    <row r="4" spans="1:13" x14ac:dyDescent="0.25">
      <c r="A4" s="6"/>
      <c r="B4" s="13" t="s">
        <v>4</v>
      </c>
      <c r="C4" s="14">
        <v>2000</v>
      </c>
      <c r="D4" s="6" t="s">
        <v>3</v>
      </c>
      <c r="E4" s="6">
        <f>C4/12</f>
        <v>166.66666666666666</v>
      </c>
      <c r="F4" s="6">
        <f>E4/12</f>
        <v>13.888888888888888</v>
      </c>
      <c r="G4" s="6"/>
      <c r="H4" s="6"/>
      <c r="I4" s="6"/>
      <c r="J4" s="6"/>
      <c r="K4" s="6"/>
      <c r="L4" s="6"/>
      <c r="M4" s="6"/>
    </row>
    <row r="5" spans="1:13" x14ac:dyDescent="0.25">
      <c r="A5" s="6"/>
      <c r="B5" s="13" t="s">
        <v>7</v>
      </c>
      <c r="C5" s="15">
        <v>0.05</v>
      </c>
      <c r="D5" s="15">
        <v>0.04</v>
      </c>
      <c r="E5" s="15">
        <f>AVERAGE(C5:D5)</f>
        <v>4.4999999999999998E-2</v>
      </c>
      <c r="F5" s="15">
        <f>AVERAGE(D5:E5)</f>
        <v>4.2499999999999996E-2</v>
      </c>
      <c r="G5" s="15">
        <f>AVERAGE(E5:F5)</f>
        <v>4.3749999999999997E-2</v>
      </c>
      <c r="H5" s="15">
        <f>AVERAGE(F5:G5)</f>
        <v>4.3124999999999997E-2</v>
      </c>
      <c r="I5" s="15">
        <f>AVERAGE(G5:H5)</f>
        <v>4.3437499999999997E-2</v>
      </c>
      <c r="J5" s="6"/>
      <c r="K5" s="6"/>
      <c r="L5" s="6"/>
      <c r="M5" s="6"/>
    </row>
    <row r="6" spans="1:13" x14ac:dyDescent="0.25">
      <c r="A6" s="6"/>
      <c r="B6" s="13" t="s">
        <v>5</v>
      </c>
      <c r="C6" s="5">
        <v>4500</v>
      </c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x14ac:dyDescent="0.25">
      <c r="A7" s="6"/>
      <c r="B7" s="13" t="s">
        <v>6</v>
      </c>
      <c r="C7" s="5">
        <v>7200</v>
      </c>
      <c r="D7" s="6"/>
      <c r="E7" s="6"/>
      <c r="F7" s="6"/>
      <c r="G7" s="6"/>
      <c r="H7" s="6"/>
      <c r="I7" s="6"/>
      <c r="J7" s="6"/>
      <c r="K7" s="6"/>
      <c r="L7" s="6"/>
      <c r="M7" s="6"/>
    </row>
    <row r="8" spans="1:13" x14ac:dyDescent="0.25">
      <c r="A8" s="6"/>
      <c r="B8" s="13" t="s">
        <v>8</v>
      </c>
      <c r="C8" s="15">
        <v>0.05</v>
      </c>
      <c r="D8" s="6"/>
      <c r="E8" s="6"/>
      <c r="F8" s="6"/>
      <c r="G8" s="6"/>
      <c r="H8" s="6"/>
      <c r="I8" s="6"/>
      <c r="J8" s="6"/>
      <c r="K8" s="6"/>
      <c r="L8" s="6"/>
      <c r="M8" s="6"/>
    </row>
    <row r="9" spans="1:13" x14ac:dyDescent="0.25">
      <c r="A9" s="6"/>
      <c r="B9" s="13" t="s">
        <v>9</v>
      </c>
      <c r="C9" s="6">
        <v>1</v>
      </c>
      <c r="D9" s="6" t="s">
        <v>10</v>
      </c>
      <c r="E9" s="6"/>
      <c r="F9" s="6"/>
      <c r="G9" s="6"/>
      <c r="H9" s="6"/>
      <c r="I9" s="6"/>
      <c r="J9" s="6"/>
      <c r="K9" s="6"/>
      <c r="L9" s="6"/>
      <c r="M9" s="6"/>
    </row>
    <row r="10" spans="1:13" x14ac:dyDescent="0.25">
      <c r="A10" s="6"/>
      <c r="B10" s="13"/>
      <c r="C10" s="6">
        <v>1</v>
      </c>
      <c r="D10" s="6" t="s">
        <v>11</v>
      </c>
      <c r="E10" s="6"/>
      <c r="F10" s="6"/>
      <c r="G10" s="6"/>
      <c r="H10" s="6"/>
      <c r="I10" s="6"/>
      <c r="J10" s="6"/>
      <c r="K10" s="6"/>
      <c r="L10" s="6"/>
      <c r="M10" s="6"/>
    </row>
    <row r="11" spans="1:13" x14ac:dyDescent="0.25">
      <c r="A11" s="6"/>
      <c r="B11" s="13" t="s">
        <v>12</v>
      </c>
      <c r="C11" s="6">
        <v>1</v>
      </c>
      <c r="D11" s="6" t="s">
        <v>10</v>
      </c>
      <c r="E11" s="6"/>
      <c r="F11" s="6"/>
      <c r="G11" s="6"/>
      <c r="H11" s="6"/>
      <c r="I11" s="6"/>
      <c r="J11" s="6"/>
      <c r="K11" s="6"/>
      <c r="L11" s="6"/>
      <c r="M11" s="6"/>
    </row>
    <row r="12" spans="1:13" x14ac:dyDescent="0.25">
      <c r="A12" s="6"/>
      <c r="B12" s="13"/>
      <c r="C12" s="6">
        <v>2</v>
      </c>
      <c r="D12" s="6" t="s">
        <v>11</v>
      </c>
      <c r="E12" s="6"/>
      <c r="F12" s="6"/>
      <c r="G12" s="6"/>
      <c r="H12" s="6"/>
      <c r="I12" s="6"/>
      <c r="J12" s="6"/>
      <c r="K12" s="6"/>
      <c r="L12" s="6"/>
      <c r="M12" s="6"/>
    </row>
    <row r="13" spans="1:13" x14ac:dyDescent="0.25">
      <c r="A13" s="6"/>
      <c r="B13" s="13" t="s">
        <v>13</v>
      </c>
      <c r="C13" s="5">
        <v>500</v>
      </c>
      <c r="D13" s="6"/>
      <c r="E13" s="6"/>
      <c r="F13" s="6"/>
      <c r="G13" s="6"/>
      <c r="H13" s="6"/>
      <c r="I13" s="6"/>
      <c r="J13" s="6"/>
      <c r="K13" s="6"/>
      <c r="L13" s="6"/>
      <c r="M13" s="6"/>
    </row>
    <row r="14" spans="1:13" x14ac:dyDescent="0.25">
      <c r="A14" s="6"/>
      <c r="B14" s="13" t="s">
        <v>14</v>
      </c>
      <c r="C14" s="5">
        <v>800</v>
      </c>
      <c r="D14" s="6"/>
      <c r="E14" s="6"/>
      <c r="F14" s="6"/>
      <c r="G14" s="6"/>
      <c r="H14" s="6"/>
      <c r="I14" s="6"/>
      <c r="J14" s="6"/>
      <c r="K14" s="6"/>
      <c r="L14" s="6"/>
      <c r="M14" s="6"/>
    </row>
    <row r="15" spans="1:13" x14ac:dyDescent="0.25">
      <c r="A15" s="6"/>
      <c r="B15" s="13" t="s">
        <v>15</v>
      </c>
      <c r="C15" s="15">
        <v>0.1</v>
      </c>
      <c r="D15" s="6" t="s">
        <v>16</v>
      </c>
      <c r="E15" s="6"/>
      <c r="F15" s="6"/>
      <c r="G15" s="6"/>
      <c r="H15" s="6"/>
      <c r="I15" s="6"/>
      <c r="J15" s="6"/>
      <c r="K15" s="6"/>
      <c r="L15" s="6"/>
      <c r="M15" s="6"/>
    </row>
    <row r="16" spans="1:13" x14ac:dyDescent="0.25">
      <c r="A16" s="6"/>
      <c r="B16" s="13" t="s">
        <v>17</v>
      </c>
      <c r="C16" s="15">
        <v>0.15</v>
      </c>
      <c r="D16" s="6" t="s">
        <v>16</v>
      </c>
      <c r="E16" s="6"/>
      <c r="F16" s="6"/>
      <c r="G16" s="6"/>
      <c r="H16" s="6"/>
      <c r="I16" s="6"/>
      <c r="J16" s="6"/>
      <c r="K16" s="6"/>
      <c r="L16" s="6"/>
      <c r="M16" s="6"/>
    </row>
    <row r="17" spans="1:13" x14ac:dyDescent="0.25">
      <c r="A17" s="6"/>
      <c r="B17" s="13" t="s">
        <v>18</v>
      </c>
      <c r="C17" s="6">
        <v>5</v>
      </c>
      <c r="D17" s="6" t="s">
        <v>19</v>
      </c>
      <c r="E17" s="6"/>
      <c r="F17" s="6"/>
      <c r="G17" s="6"/>
      <c r="H17" s="6"/>
      <c r="I17" s="6"/>
      <c r="J17" s="6"/>
      <c r="K17" s="6"/>
      <c r="L17" s="6"/>
      <c r="M17" s="6"/>
    </row>
    <row r="18" spans="1:13" x14ac:dyDescent="0.25">
      <c r="A18" s="6"/>
      <c r="B18" s="13" t="s">
        <v>20</v>
      </c>
      <c r="C18" s="6">
        <v>3</v>
      </c>
      <c r="D18" s="6" t="s">
        <v>19</v>
      </c>
      <c r="E18" s="6"/>
      <c r="F18" s="6"/>
      <c r="G18" s="6"/>
      <c r="H18" s="6"/>
      <c r="I18" s="6"/>
      <c r="J18" s="6"/>
      <c r="K18" s="6"/>
      <c r="L18" s="6"/>
      <c r="M18" s="6"/>
    </row>
    <row r="19" spans="1:13" x14ac:dyDescent="0.25">
      <c r="A19" s="6"/>
      <c r="B19" s="13" t="s">
        <v>21</v>
      </c>
      <c r="C19" s="6">
        <v>30</v>
      </c>
      <c r="D19" s="6" t="s">
        <v>19</v>
      </c>
      <c r="E19" s="6"/>
      <c r="F19" s="6"/>
      <c r="G19" s="6"/>
      <c r="H19" s="6"/>
      <c r="I19" s="6"/>
      <c r="J19" s="6"/>
      <c r="K19" s="6"/>
      <c r="L19" s="6"/>
      <c r="M19" s="6"/>
    </row>
    <row r="20" spans="1:13" x14ac:dyDescent="0.25">
      <c r="A20" s="6"/>
      <c r="B20" s="13" t="s">
        <v>22</v>
      </c>
      <c r="C20" s="6">
        <v>30</v>
      </c>
      <c r="D20" s="6" t="s">
        <v>19</v>
      </c>
      <c r="E20" s="6"/>
      <c r="F20" s="6"/>
      <c r="G20" s="6"/>
      <c r="H20" s="6"/>
      <c r="I20" s="6"/>
      <c r="J20" s="6"/>
      <c r="K20" s="6"/>
      <c r="L20" s="6"/>
      <c r="M20" s="6"/>
    </row>
    <row r="21" spans="1:13" x14ac:dyDescent="0.25">
      <c r="A21" s="6"/>
      <c r="B21" s="13" t="s">
        <v>43</v>
      </c>
      <c r="C21" s="15">
        <v>0.05</v>
      </c>
      <c r="D21" s="6"/>
      <c r="E21" s="5"/>
      <c r="F21" s="6"/>
      <c r="G21" s="6"/>
      <c r="H21" s="6"/>
      <c r="I21" s="6"/>
      <c r="J21" s="6"/>
      <c r="K21" s="6"/>
      <c r="L21" s="6"/>
      <c r="M21" s="6"/>
    </row>
    <row r="22" spans="1:13" x14ac:dyDescent="0.25">
      <c r="A22" s="6"/>
      <c r="B22" s="13"/>
      <c r="C22" s="6"/>
      <c r="D22" s="6" t="s">
        <v>123</v>
      </c>
      <c r="E22" s="6"/>
      <c r="F22" s="6"/>
      <c r="G22" s="6"/>
      <c r="H22" s="6"/>
      <c r="I22" s="6"/>
      <c r="J22" s="6"/>
      <c r="K22" s="6"/>
      <c r="L22" s="6"/>
      <c r="M22" s="6"/>
    </row>
    <row r="23" spans="1:13" x14ac:dyDescent="0.25">
      <c r="A23" s="6"/>
      <c r="B23" s="16" t="s">
        <v>23</v>
      </c>
      <c r="C23" s="17">
        <v>0</v>
      </c>
      <c r="D23" s="17">
        <v>1</v>
      </c>
      <c r="E23" s="17">
        <v>2</v>
      </c>
      <c r="F23" s="17">
        <v>3</v>
      </c>
      <c r="G23" s="17">
        <v>4</v>
      </c>
      <c r="H23" s="17">
        <v>5</v>
      </c>
    </row>
    <row r="24" spans="1:13" x14ac:dyDescent="0.25">
      <c r="A24" s="6"/>
      <c r="B24" s="13" t="s">
        <v>24</v>
      </c>
      <c r="C24" s="6"/>
      <c r="D24" s="14">
        <f>C3</f>
        <v>36000</v>
      </c>
      <c r="E24" s="14">
        <f t="shared" ref="E24:H25" si="0">ROUND(D24*(1+$E$5),0)</f>
        <v>37620</v>
      </c>
      <c r="F24" s="14">
        <f t="shared" si="0"/>
        <v>39313</v>
      </c>
      <c r="G24" s="14">
        <f t="shared" si="0"/>
        <v>41082</v>
      </c>
      <c r="H24" s="14">
        <f t="shared" si="0"/>
        <v>42931</v>
      </c>
    </row>
    <row r="25" spans="1:13" x14ac:dyDescent="0.25">
      <c r="A25" s="6"/>
      <c r="B25" s="13" t="s">
        <v>25</v>
      </c>
      <c r="C25" s="6"/>
      <c r="D25" s="14">
        <f>C4</f>
        <v>2000</v>
      </c>
      <c r="E25" s="14">
        <f t="shared" si="0"/>
        <v>2090</v>
      </c>
      <c r="F25" s="14">
        <f t="shared" si="0"/>
        <v>2184</v>
      </c>
      <c r="G25" s="14">
        <f t="shared" si="0"/>
        <v>2282</v>
      </c>
      <c r="H25" s="14">
        <f t="shared" si="0"/>
        <v>2385</v>
      </c>
    </row>
    <row r="26" spans="1:13" x14ac:dyDescent="0.25">
      <c r="A26" s="6"/>
      <c r="B26" s="13" t="s">
        <v>5</v>
      </c>
      <c r="C26" s="6"/>
      <c r="D26" s="5">
        <f>C6</f>
        <v>4500</v>
      </c>
      <c r="E26" s="5">
        <f t="shared" ref="E26:H27" si="1">D26*(1+$C$8)</f>
        <v>4725</v>
      </c>
      <c r="F26" s="5">
        <f t="shared" si="1"/>
        <v>4961.25</v>
      </c>
      <c r="G26" s="5">
        <f t="shared" si="1"/>
        <v>5209.3125</v>
      </c>
      <c r="H26" s="5">
        <f t="shared" si="1"/>
        <v>5469.7781249999998</v>
      </c>
    </row>
    <row r="27" spans="1:13" x14ac:dyDescent="0.25">
      <c r="A27" s="6"/>
      <c r="B27" s="13" t="s">
        <v>6</v>
      </c>
      <c r="C27" s="6"/>
      <c r="D27" s="5">
        <f>C7</f>
        <v>7200</v>
      </c>
      <c r="E27" s="5">
        <f t="shared" si="1"/>
        <v>7560</v>
      </c>
      <c r="F27" s="5">
        <f t="shared" si="1"/>
        <v>7938</v>
      </c>
      <c r="G27" s="5">
        <f t="shared" si="1"/>
        <v>8334.9</v>
      </c>
      <c r="H27" s="5">
        <f t="shared" si="1"/>
        <v>8751.6450000000004</v>
      </c>
    </row>
    <row r="28" spans="1:13" x14ac:dyDescent="0.25">
      <c r="A28" s="6"/>
      <c r="B28" s="13" t="s">
        <v>26</v>
      </c>
      <c r="C28" s="6"/>
      <c r="D28" s="5">
        <f>SUMPRODUCT(D24:D25,D26:D27)</f>
        <v>176400000</v>
      </c>
      <c r="E28" s="5">
        <f>SUMPRODUCT(E24:E25,E26:E27)</f>
        <v>193554900</v>
      </c>
      <c r="F28" s="5">
        <f>SUMPRODUCT(F24:F25,F26:F27)</f>
        <v>212378213.25</v>
      </c>
      <c r="G28" s="5">
        <f>SUMPRODUCT(G24:G25,G26:G27)</f>
        <v>233029217.92500001</v>
      </c>
      <c r="H28" s="5">
        <f>SUMPRODUCT(H24:H25,H26:H27)</f>
        <v>255695718.00937498</v>
      </c>
    </row>
    <row r="29" spans="1:13" x14ac:dyDescent="0.25">
      <c r="A29" s="6"/>
      <c r="B29" s="13" t="s">
        <v>27</v>
      </c>
      <c r="C29" s="6"/>
      <c r="D29" s="5">
        <f>(D28/360)*$C$19</f>
        <v>14700000</v>
      </c>
      <c r="E29" s="5">
        <f>(E28/360)*$C$19</f>
        <v>16129575</v>
      </c>
      <c r="F29" s="5">
        <f>(F28/360)*$C$19</f>
        <v>17698184.4375</v>
      </c>
      <c r="G29" s="5">
        <f>(G28/360)*$C$19</f>
        <v>19419101.493750002</v>
      </c>
      <c r="H29" s="5">
        <f>(H28/360)*$C$19</f>
        <v>21307976.500781249</v>
      </c>
    </row>
    <row r="30" spans="1:13" x14ac:dyDescent="0.25">
      <c r="A30" s="6"/>
      <c r="B30" s="13"/>
      <c r="C30" s="6"/>
      <c r="D30" s="6"/>
      <c r="E30" s="6"/>
      <c r="F30" s="6"/>
      <c r="G30" s="6"/>
      <c r="H30" s="6"/>
    </row>
    <row r="31" spans="1:13" x14ac:dyDescent="0.25">
      <c r="A31" s="6"/>
      <c r="B31" s="13" t="s">
        <v>30</v>
      </c>
      <c r="C31" s="6"/>
      <c r="D31" s="6">
        <f>ROUND((D32/360)*$C$18,0)</f>
        <v>300</v>
      </c>
      <c r="E31" s="6">
        <f>ROUND((E32/360)*$C$18,0)</f>
        <v>314</v>
      </c>
      <c r="F31" s="6">
        <f>ROUND((F32/360)*$C$18,0)</f>
        <v>328</v>
      </c>
      <c r="G31" s="6">
        <f>ROUND((G32/360)*$C$18,0)</f>
        <v>342</v>
      </c>
      <c r="H31" s="6">
        <f>ROUND((H32/360)*$C$18,0)</f>
        <v>358</v>
      </c>
    </row>
    <row r="32" spans="1:13" x14ac:dyDescent="0.25">
      <c r="A32" s="6"/>
      <c r="B32" s="18" t="s">
        <v>28</v>
      </c>
      <c r="C32" s="6"/>
      <c r="D32" s="14">
        <f>D24</f>
        <v>36000</v>
      </c>
      <c r="E32" s="14">
        <f>E24</f>
        <v>37620</v>
      </c>
      <c r="F32" s="14">
        <f>F24</f>
        <v>39313</v>
      </c>
      <c r="G32" s="14">
        <f>G24</f>
        <v>41082</v>
      </c>
      <c r="H32" s="14">
        <f>H24</f>
        <v>42931</v>
      </c>
    </row>
    <row r="33" spans="1:8" x14ac:dyDescent="0.25">
      <c r="A33" s="6"/>
      <c r="B33" s="18" t="s">
        <v>29</v>
      </c>
      <c r="C33" s="6"/>
      <c r="D33" s="6">
        <v>0</v>
      </c>
      <c r="E33" s="6">
        <f>D31</f>
        <v>300</v>
      </c>
      <c r="F33" s="6">
        <f>E31</f>
        <v>314</v>
      </c>
      <c r="G33" s="6">
        <f>F31</f>
        <v>328</v>
      </c>
      <c r="H33" s="6">
        <f>G31</f>
        <v>342</v>
      </c>
    </row>
    <row r="34" spans="1:8" x14ac:dyDescent="0.25">
      <c r="A34" s="6"/>
      <c r="B34" s="18" t="s">
        <v>31</v>
      </c>
      <c r="C34" s="6"/>
      <c r="D34" s="14">
        <f>D31+D32-D33</f>
        <v>36300</v>
      </c>
      <c r="E34" s="14">
        <f>E31+E32-E33</f>
        <v>37634</v>
      </c>
      <c r="F34" s="14">
        <f>F31+F32-F33</f>
        <v>39327</v>
      </c>
      <c r="G34" s="14">
        <f>G31+G32-G33</f>
        <v>41096</v>
      </c>
      <c r="H34" s="14">
        <f>H31+H32-H33</f>
        <v>42947</v>
      </c>
    </row>
    <row r="35" spans="1:8" x14ac:dyDescent="0.25">
      <c r="A35" s="6"/>
      <c r="B35" s="13"/>
      <c r="C35" s="6"/>
      <c r="D35" s="6"/>
      <c r="E35" s="6"/>
      <c r="F35" s="6"/>
      <c r="G35" s="6"/>
      <c r="H35" s="6"/>
    </row>
    <row r="36" spans="1:8" x14ac:dyDescent="0.25">
      <c r="A36" s="6"/>
      <c r="B36" s="13" t="s">
        <v>32</v>
      </c>
      <c r="C36" s="6"/>
      <c r="D36" s="6">
        <f>ROUND((D37/360)*$C$18,0)</f>
        <v>17</v>
      </c>
      <c r="E36" s="6">
        <f>ROUND((E37/360)*$C$18,0)</f>
        <v>17</v>
      </c>
      <c r="F36" s="6">
        <f>ROUND((F37/360)*$C$18,0)</f>
        <v>18</v>
      </c>
      <c r="G36" s="6">
        <f>ROUND((G37/360)*$C$18,0)</f>
        <v>19</v>
      </c>
      <c r="H36" s="6">
        <f>ROUND((H37/360)*$C$18,0)</f>
        <v>20</v>
      </c>
    </row>
    <row r="37" spans="1:8" x14ac:dyDescent="0.25">
      <c r="A37" s="6"/>
      <c r="B37" s="18" t="s">
        <v>28</v>
      </c>
      <c r="C37" s="6"/>
      <c r="D37" s="14">
        <f>D25</f>
        <v>2000</v>
      </c>
      <c r="E37" s="14">
        <f>E25</f>
        <v>2090</v>
      </c>
      <c r="F37" s="14">
        <f>F25</f>
        <v>2184</v>
      </c>
      <c r="G37" s="14">
        <f>G25</f>
        <v>2282</v>
      </c>
      <c r="H37" s="14">
        <f>H25</f>
        <v>2385</v>
      </c>
    </row>
    <row r="38" spans="1:8" x14ac:dyDescent="0.25">
      <c r="A38" s="6"/>
      <c r="B38" s="18" t="s">
        <v>33</v>
      </c>
      <c r="C38" s="6"/>
      <c r="D38" s="6">
        <v>0</v>
      </c>
      <c r="E38" s="6">
        <f>D36</f>
        <v>17</v>
      </c>
      <c r="F38" s="6">
        <f>E36</f>
        <v>17</v>
      </c>
      <c r="G38" s="6">
        <f>F36</f>
        <v>18</v>
      </c>
      <c r="H38" s="6">
        <f>G36</f>
        <v>19</v>
      </c>
    </row>
    <row r="39" spans="1:8" x14ac:dyDescent="0.25">
      <c r="A39" s="6"/>
      <c r="B39" s="18" t="s">
        <v>34</v>
      </c>
      <c r="C39" s="6"/>
      <c r="D39" s="14">
        <f>D36+D37-D38</f>
        <v>2017</v>
      </c>
      <c r="E39" s="14">
        <f>E36+E37-E38</f>
        <v>2090</v>
      </c>
      <c r="F39" s="14">
        <f>F36+F37-F38</f>
        <v>2185</v>
      </c>
      <c r="G39" s="14">
        <f>G36+G37-G38</f>
        <v>2283</v>
      </c>
      <c r="H39" s="14">
        <f>H36+H37-H38</f>
        <v>2386</v>
      </c>
    </row>
    <row r="40" spans="1:8" x14ac:dyDescent="0.25">
      <c r="A40" s="6"/>
      <c r="B40" s="13"/>
      <c r="C40" s="6"/>
      <c r="D40" s="6"/>
      <c r="E40" s="6"/>
      <c r="F40" s="6"/>
      <c r="G40" s="6"/>
      <c r="H40" s="6"/>
    </row>
    <row r="41" spans="1:8" x14ac:dyDescent="0.25">
      <c r="A41" s="6"/>
      <c r="B41" s="13" t="s">
        <v>35</v>
      </c>
      <c r="C41" s="6"/>
      <c r="D41" s="14">
        <f>ROUND((D42/360)*$C$17,0)</f>
        <v>532</v>
      </c>
      <c r="E41" s="14">
        <f>ROUND((E42/360)*$C$17,0)</f>
        <v>552</v>
      </c>
      <c r="F41" s="14">
        <f>ROUND((F42/360)*$C$17,0)</f>
        <v>577</v>
      </c>
      <c r="G41" s="14">
        <f>ROUND((G42/360)*$C$17,0)</f>
        <v>602</v>
      </c>
      <c r="H41" s="14">
        <f>ROUND((H42/360)*$C$17,0)</f>
        <v>630</v>
      </c>
    </row>
    <row r="42" spans="1:8" x14ac:dyDescent="0.25">
      <c r="A42" s="6"/>
      <c r="B42" s="18" t="s">
        <v>36</v>
      </c>
      <c r="C42" s="6"/>
      <c r="D42" s="14">
        <f>(D34*$C$9+D39*$C$11)</f>
        <v>38317</v>
      </c>
      <c r="E42" s="14">
        <f>(E34*$C$9+E39*$C$11)</f>
        <v>39724</v>
      </c>
      <c r="F42" s="14">
        <f>(F34*$C$9+F39*$C$11)</f>
        <v>41512</v>
      </c>
      <c r="G42" s="14">
        <f>(G34*$C$9+G39*$C$11)</f>
        <v>43379</v>
      </c>
      <c r="H42" s="14">
        <f>(H34*$C$9+H39*$C$11)</f>
        <v>45333</v>
      </c>
    </row>
    <row r="43" spans="1:8" x14ac:dyDescent="0.25">
      <c r="A43" s="6"/>
      <c r="B43" s="18" t="s">
        <v>37</v>
      </c>
      <c r="C43" s="6"/>
      <c r="D43" s="6">
        <v>0</v>
      </c>
      <c r="E43" s="14">
        <f>D41</f>
        <v>532</v>
      </c>
      <c r="F43" s="14">
        <f>E41</f>
        <v>552</v>
      </c>
      <c r="G43" s="14">
        <f>F41</f>
        <v>577</v>
      </c>
      <c r="H43" s="14">
        <f>G41</f>
        <v>602</v>
      </c>
    </row>
    <row r="44" spans="1:8" x14ac:dyDescent="0.25">
      <c r="A44" s="6"/>
      <c r="B44" s="18" t="s">
        <v>38</v>
      </c>
      <c r="C44" s="6"/>
      <c r="D44" s="14">
        <f>D41+D42-D43</f>
        <v>38849</v>
      </c>
      <c r="E44" s="14">
        <f>E41+E42-E43</f>
        <v>39744</v>
      </c>
      <c r="F44" s="14">
        <f>F41+F42-F43</f>
        <v>41537</v>
      </c>
      <c r="G44" s="14">
        <f>G41+G42-G43</f>
        <v>43404</v>
      </c>
      <c r="H44" s="14">
        <f>H41+H42-H43</f>
        <v>45361</v>
      </c>
    </row>
    <row r="45" spans="1:8" x14ac:dyDescent="0.25">
      <c r="A45" s="6"/>
      <c r="B45" s="13"/>
      <c r="C45" s="6"/>
      <c r="D45" s="6"/>
      <c r="E45" s="6"/>
      <c r="F45" s="6"/>
      <c r="G45" s="6"/>
      <c r="H45" s="6"/>
    </row>
    <row r="46" spans="1:8" x14ac:dyDescent="0.25">
      <c r="A46" s="6"/>
      <c r="B46" s="13" t="s">
        <v>39</v>
      </c>
      <c r="C46" s="6"/>
      <c r="D46" s="14">
        <f>ROUND((D47/360)*$C$17,0)</f>
        <v>560</v>
      </c>
      <c r="E46" s="14">
        <f>ROUND((E47/360)*$C$17,0)</f>
        <v>581</v>
      </c>
      <c r="F46" s="14">
        <f>ROUND((F47/360)*$C$17,0)</f>
        <v>607</v>
      </c>
      <c r="G46" s="14">
        <f>ROUND((G47/360)*$C$17,0)</f>
        <v>634</v>
      </c>
      <c r="H46" s="14">
        <f>ROUND((H47/360)*$C$17,0)</f>
        <v>663</v>
      </c>
    </row>
    <row r="47" spans="1:8" x14ac:dyDescent="0.25">
      <c r="A47" s="6"/>
      <c r="B47" s="18" t="s">
        <v>40</v>
      </c>
      <c r="C47" s="6"/>
      <c r="D47" s="14">
        <f>(D34*$C$10+D39*$C$12)</f>
        <v>40334</v>
      </c>
      <c r="E47" s="14">
        <f>(E34*$C$10+E39*$C$12)</f>
        <v>41814</v>
      </c>
      <c r="F47" s="14">
        <f>(F34*$C$10+F39*$C$12)</f>
        <v>43697</v>
      </c>
      <c r="G47" s="14">
        <f>(G34*$C$10+G39*$C$12)</f>
        <v>45662</v>
      </c>
      <c r="H47" s="14">
        <f>(H34*$C$10+H39*$C$12)</f>
        <v>47719</v>
      </c>
    </row>
    <row r="48" spans="1:8" x14ac:dyDescent="0.25">
      <c r="A48" s="6"/>
      <c r="B48" s="18" t="s">
        <v>41</v>
      </c>
      <c r="C48" s="6"/>
      <c r="D48" s="6">
        <v>0</v>
      </c>
      <c r="E48" s="14">
        <f>D46</f>
        <v>560</v>
      </c>
      <c r="F48" s="14">
        <f>E46</f>
        <v>581</v>
      </c>
      <c r="G48" s="14">
        <f>F46</f>
        <v>607</v>
      </c>
      <c r="H48" s="14">
        <f>G46</f>
        <v>634</v>
      </c>
    </row>
    <row r="49" spans="1:8" x14ac:dyDescent="0.25">
      <c r="A49" s="6"/>
      <c r="B49" s="18" t="s">
        <v>42</v>
      </c>
      <c r="C49" s="6"/>
      <c r="D49" s="14">
        <f>D46+D47-D48</f>
        <v>40894</v>
      </c>
      <c r="E49" s="14">
        <f>E46+E47-E48</f>
        <v>41835</v>
      </c>
      <c r="F49" s="14">
        <f>F46+F47-F48</f>
        <v>43723</v>
      </c>
      <c r="G49" s="14">
        <f>G46+G47-G48</f>
        <v>45689</v>
      </c>
      <c r="H49" s="14">
        <f>H46+H47-H48</f>
        <v>47748</v>
      </c>
    </row>
    <row r="50" spans="1:8" x14ac:dyDescent="0.25">
      <c r="A50" s="6"/>
      <c r="B50" s="13"/>
      <c r="C50" s="6"/>
      <c r="D50" s="6"/>
      <c r="E50" s="6"/>
      <c r="F50" s="6"/>
      <c r="G50" s="6"/>
      <c r="H50" s="6"/>
    </row>
    <row r="51" spans="1:8" x14ac:dyDescent="0.25">
      <c r="A51" s="6"/>
      <c r="B51" s="13" t="s">
        <v>13</v>
      </c>
      <c r="C51" s="6"/>
      <c r="D51" s="5">
        <f>C13</f>
        <v>500</v>
      </c>
      <c r="E51" s="5">
        <f t="shared" ref="E51:H52" si="2">D51*(1+$C$21)</f>
        <v>525</v>
      </c>
      <c r="F51" s="5">
        <f t="shared" si="2"/>
        <v>551.25</v>
      </c>
      <c r="G51" s="5">
        <f t="shared" si="2"/>
        <v>578.8125</v>
      </c>
      <c r="H51" s="5">
        <f t="shared" si="2"/>
        <v>607.75312500000007</v>
      </c>
    </row>
    <row r="52" spans="1:8" x14ac:dyDescent="0.25">
      <c r="A52" s="6"/>
      <c r="B52" s="13" t="s">
        <v>14</v>
      </c>
      <c r="C52" s="6"/>
      <c r="D52" s="5">
        <f>C14</f>
        <v>800</v>
      </c>
      <c r="E52" s="5">
        <f t="shared" si="2"/>
        <v>840</v>
      </c>
      <c r="F52" s="5">
        <f t="shared" si="2"/>
        <v>882</v>
      </c>
      <c r="G52" s="5">
        <f t="shared" si="2"/>
        <v>926.1</v>
      </c>
      <c r="H52" s="5">
        <f t="shared" si="2"/>
        <v>972.40500000000009</v>
      </c>
    </row>
    <row r="53" spans="1:8" x14ac:dyDescent="0.25">
      <c r="A53" s="6"/>
      <c r="B53" s="13"/>
      <c r="C53" s="6"/>
      <c r="D53" s="6"/>
      <c r="E53" s="6"/>
      <c r="F53" s="6"/>
      <c r="G53" s="6"/>
      <c r="H53" s="6"/>
    </row>
    <row r="54" spans="1:8" x14ac:dyDescent="0.25">
      <c r="A54" s="6"/>
      <c r="B54" s="13" t="s">
        <v>44</v>
      </c>
      <c r="C54" s="6"/>
      <c r="D54" s="5">
        <f>D51*$C$9+D52*$C$10</f>
        <v>1300</v>
      </c>
      <c r="E54" s="5">
        <f>E51*$C$9+E52*$C$10</f>
        <v>1365</v>
      </c>
      <c r="F54" s="5">
        <f>F51*$C$9+F52*$C$10</f>
        <v>1433.25</v>
      </c>
      <c r="G54" s="5">
        <f>G51*$C$9+G52*$C$10</f>
        <v>1504.9124999999999</v>
      </c>
      <c r="H54" s="5">
        <f>H51*$C$9+H52*$C$10</f>
        <v>1580.1581250000002</v>
      </c>
    </row>
    <row r="55" spans="1:8" x14ac:dyDescent="0.25">
      <c r="A55" s="6"/>
      <c r="B55" s="13" t="s">
        <v>45</v>
      </c>
      <c r="C55" s="6"/>
      <c r="D55" s="5">
        <f>D26*$C$15</f>
        <v>450</v>
      </c>
      <c r="E55" s="5">
        <f>E26*$C$15</f>
        <v>472.5</v>
      </c>
      <c r="F55" s="5">
        <f>F26*$C$15</f>
        <v>496.125</v>
      </c>
      <c r="G55" s="5">
        <f>G26*$C$15</f>
        <v>520.93124999999998</v>
      </c>
      <c r="H55" s="5">
        <f>H26*$C$15</f>
        <v>546.97781250000003</v>
      </c>
    </row>
    <row r="56" spans="1:8" x14ac:dyDescent="0.25">
      <c r="A56" s="6"/>
      <c r="B56" s="13" t="s">
        <v>46</v>
      </c>
      <c r="C56" s="6"/>
      <c r="D56" s="5">
        <f>D26*$C$16</f>
        <v>675</v>
      </c>
      <c r="E56" s="5">
        <f>E26*$C$16</f>
        <v>708.75</v>
      </c>
      <c r="F56" s="5">
        <f>F26*$C$16</f>
        <v>744.1875</v>
      </c>
      <c r="G56" s="5">
        <f>G26*$C$16</f>
        <v>781.39687500000002</v>
      </c>
      <c r="H56" s="5">
        <f>H26*$C$16</f>
        <v>820.46671874999993</v>
      </c>
    </row>
    <row r="57" spans="1:8" x14ac:dyDescent="0.25">
      <c r="A57" s="6"/>
      <c r="B57" s="13" t="s">
        <v>47</v>
      </c>
      <c r="C57" s="6"/>
      <c r="D57" s="5">
        <f>SUM(D54:D56)</f>
        <v>2425</v>
      </c>
      <c r="E57" s="5">
        <f>SUM(E54:E56)</f>
        <v>2546.25</v>
      </c>
      <c r="F57" s="5">
        <f>SUM(F54:F56)</f>
        <v>2673.5625</v>
      </c>
      <c r="G57" s="5">
        <f>SUM(G54:G56)</f>
        <v>2807.2406249999999</v>
      </c>
      <c r="H57" s="5">
        <f>SUM(H54:H56)</f>
        <v>2947.6026562500001</v>
      </c>
    </row>
    <row r="58" spans="1:8" x14ac:dyDescent="0.25">
      <c r="A58" s="6"/>
      <c r="B58" s="13"/>
      <c r="C58" s="6"/>
      <c r="D58" s="6"/>
      <c r="E58" s="6"/>
      <c r="F58" s="6"/>
      <c r="G58" s="6"/>
      <c r="H58" s="6"/>
    </row>
    <row r="59" spans="1:8" x14ac:dyDescent="0.25">
      <c r="A59" s="6"/>
      <c r="B59" s="13" t="s">
        <v>48</v>
      </c>
      <c r="C59" s="6"/>
      <c r="D59" s="5">
        <f>D51*$C$11+D52*$C$12</f>
        <v>2100</v>
      </c>
      <c r="E59" s="5">
        <f>E51*$C$11+E52*$C$12</f>
        <v>2205</v>
      </c>
      <c r="F59" s="5">
        <f>F51*$C$11+F52*$C$12</f>
        <v>2315.25</v>
      </c>
      <c r="G59" s="5">
        <f>G51*$C$11+G52*$C$12</f>
        <v>2431.0124999999998</v>
      </c>
      <c r="H59" s="5">
        <f>H51*$C$11+H52*$C$12</f>
        <v>2552.5631250000001</v>
      </c>
    </row>
    <row r="60" spans="1:8" x14ac:dyDescent="0.25">
      <c r="A60" s="6"/>
      <c r="B60" s="13" t="s">
        <v>49</v>
      </c>
      <c r="C60" s="6"/>
      <c r="D60" s="5">
        <f>D27*$C$15</f>
        <v>720</v>
      </c>
      <c r="E60" s="5">
        <f>E27*$C$15</f>
        <v>756</v>
      </c>
      <c r="F60" s="5">
        <f>F27*$C$15</f>
        <v>793.80000000000007</v>
      </c>
      <c r="G60" s="5">
        <f>G27*$C$15</f>
        <v>833.49</v>
      </c>
      <c r="H60" s="5">
        <f>H27*$C$15</f>
        <v>875.16450000000009</v>
      </c>
    </row>
    <row r="61" spans="1:8" x14ac:dyDescent="0.25">
      <c r="A61" s="6"/>
      <c r="B61" s="13" t="s">
        <v>50</v>
      </c>
      <c r="C61" s="6"/>
      <c r="D61" s="5">
        <f>D27*$C$16</f>
        <v>1080</v>
      </c>
      <c r="E61" s="5">
        <f>E27*$C$16</f>
        <v>1134</v>
      </c>
      <c r="F61" s="5">
        <f>F27*$C$16</f>
        <v>1190.7</v>
      </c>
      <c r="G61" s="5">
        <f>G27*$C$16</f>
        <v>1250.2349999999999</v>
      </c>
      <c r="H61" s="5">
        <f>H27*$C$16</f>
        <v>1312.74675</v>
      </c>
    </row>
    <row r="62" spans="1:8" x14ac:dyDescent="0.25">
      <c r="A62" s="6"/>
      <c r="B62" s="13" t="s">
        <v>51</v>
      </c>
      <c r="C62" s="6"/>
      <c r="D62" s="5">
        <f>SUM(D59:D61)</f>
        <v>3900</v>
      </c>
      <c r="E62" s="5">
        <f>SUM(E59:E61)</f>
        <v>4095</v>
      </c>
      <c r="F62" s="5">
        <f>SUM(F59:F61)</f>
        <v>4299.75</v>
      </c>
      <c r="G62" s="5">
        <f>SUM(G59:G61)</f>
        <v>4514.7374999999993</v>
      </c>
      <c r="H62" s="5">
        <f>SUM(H59:H61)</f>
        <v>4740.4743750000007</v>
      </c>
    </row>
    <row r="63" spans="1:8" x14ac:dyDescent="0.25">
      <c r="A63" s="6"/>
      <c r="B63" s="13"/>
      <c r="C63" s="6"/>
      <c r="D63" s="6"/>
      <c r="E63" s="6"/>
      <c r="F63" s="6"/>
      <c r="G63" s="6"/>
      <c r="H63" s="6"/>
    </row>
    <row r="64" spans="1:8" x14ac:dyDescent="0.25">
      <c r="A64" s="6"/>
      <c r="B64" s="13" t="s">
        <v>52</v>
      </c>
      <c r="C64" s="6"/>
      <c r="D64" s="5">
        <f>D31*D57+D36*D62</f>
        <v>793800</v>
      </c>
      <c r="E64" s="5">
        <f>E31*E57+E36*E62</f>
        <v>869137.5</v>
      </c>
      <c r="F64" s="5">
        <f>F31*F57+F36*F62</f>
        <v>954324</v>
      </c>
      <c r="G64" s="5">
        <f>G31*G57+G36*G62</f>
        <v>1045856.3062499999</v>
      </c>
      <c r="H64" s="5">
        <f>H31*H57+H36*H62</f>
        <v>1150051.2384375001</v>
      </c>
    </row>
    <row r="65" spans="1:13" x14ac:dyDescent="0.25">
      <c r="A65" s="6"/>
      <c r="B65" s="13" t="s">
        <v>53</v>
      </c>
      <c r="C65" s="6"/>
      <c r="D65" s="5">
        <f>D51*D41+D52*D46</f>
        <v>714000</v>
      </c>
      <c r="E65" s="5">
        <f>E51*E41+E52*E46</f>
        <v>777840</v>
      </c>
      <c r="F65" s="5">
        <f>F51*F41+F52*F46</f>
        <v>853445.25</v>
      </c>
      <c r="G65" s="5">
        <f>G51*G41+G52*G46</f>
        <v>935592.52500000002</v>
      </c>
      <c r="H65" s="5">
        <f>H51*H41+H52*H46</f>
        <v>1027588.9837500001</v>
      </c>
    </row>
    <row r="66" spans="1:13" x14ac:dyDescent="0.25">
      <c r="A66" s="6"/>
      <c r="B66" s="13" t="s">
        <v>54</v>
      </c>
      <c r="C66" s="6"/>
      <c r="D66" s="5">
        <f>D44*D51+D49*D52</f>
        <v>52139700</v>
      </c>
      <c r="E66" s="5">
        <f>E44*E51+E49*E52</f>
        <v>56007000</v>
      </c>
      <c r="F66" s="5">
        <f>F44*F51+F49*F52</f>
        <v>61460957.25</v>
      </c>
      <c r="G66" s="5">
        <f>G44*G51+G49*G52</f>
        <v>67435360.650000006</v>
      </c>
      <c r="H66" s="5">
        <f>H44*H51+H49*H52</f>
        <v>73998683.44312501</v>
      </c>
    </row>
    <row r="67" spans="1:13" x14ac:dyDescent="0.25">
      <c r="A67" s="6"/>
      <c r="B67" s="13" t="s">
        <v>55</v>
      </c>
      <c r="C67" s="6"/>
      <c r="D67" s="5">
        <f>(D66/360)*$C$20</f>
        <v>4344975</v>
      </c>
      <c r="E67" s="5">
        <f>(E66/360)*$C$20</f>
        <v>4667250</v>
      </c>
      <c r="F67" s="5">
        <f>(F66/360)*$C$20</f>
        <v>5121746.4375</v>
      </c>
      <c r="G67" s="5">
        <f>(G66/360)*$C$20</f>
        <v>5619613.3875000002</v>
      </c>
      <c r="H67" s="5">
        <f>(H66/360)*$C$20</f>
        <v>6166556.9535937514</v>
      </c>
    </row>
    <row r="68" spans="1:13" x14ac:dyDescent="0.25">
      <c r="A68" s="6"/>
      <c r="B68" s="13"/>
      <c r="C68" s="6"/>
      <c r="D68" s="6"/>
      <c r="E68" s="6"/>
      <c r="F68" s="6"/>
      <c r="G68" s="6"/>
      <c r="H68" s="6"/>
    </row>
    <row r="69" spans="1:13" x14ac:dyDescent="0.25">
      <c r="A69" s="6"/>
      <c r="B69" s="16" t="s">
        <v>56</v>
      </c>
      <c r="C69" s="17">
        <v>0</v>
      </c>
      <c r="D69" s="17">
        <v>1</v>
      </c>
      <c r="E69" s="17">
        <v>2</v>
      </c>
      <c r="F69" s="17">
        <v>3</v>
      </c>
      <c r="G69" s="17">
        <v>4</v>
      </c>
      <c r="H69" s="17">
        <v>5</v>
      </c>
    </row>
    <row r="70" spans="1:13" x14ac:dyDescent="0.25">
      <c r="A70" s="6"/>
      <c r="B70" s="13" t="s">
        <v>53</v>
      </c>
      <c r="C70" s="6"/>
      <c r="D70" s="5">
        <f>D65</f>
        <v>714000</v>
      </c>
      <c r="E70" s="5">
        <f>E65</f>
        <v>777840</v>
      </c>
      <c r="F70" s="5">
        <f>F65</f>
        <v>853445.25</v>
      </c>
      <c r="G70" s="5">
        <f>G65</f>
        <v>935592.52500000002</v>
      </c>
      <c r="H70" s="5">
        <f>H65</f>
        <v>1027588.9837500001</v>
      </c>
    </row>
    <row r="71" spans="1:13" x14ac:dyDescent="0.25">
      <c r="A71" s="6"/>
      <c r="B71" s="13" t="s">
        <v>52</v>
      </c>
      <c r="C71" s="6"/>
      <c r="D71" s="5">
        <f>D64</f>
        <v>793800</v>
      </c>
      <c r="E71" s="5">
        <f>E64</f>
        <v>869137.5</v>
      </c>
      <c r="F71" s="5">
        <f>F64</f>
        <v>954324</v>
      </c>
      <c r="G71" s="5">
        <f>G64</f>
        <v>1045856.3062499999</v>
      </c>
      <c r="H71" s="5">
        <f>H64</f>
        <v>1150051.2384375001</v>
      </c>
    </row>
    <row r="72" spans="1:13" x14ac:dyDescent="0.25">
      <c r="A72" s="6"/>
      <c r="B72" s="13" t="s">
        <v>27</v>
      </c>
      <c r="C72" s="6"/>
      <c r="D72" s="5">
        <f>D29</f>
        <v>14700000</v>
      </c>
      <c r="E72" s="5">
        <f>E29</f>
        <v>16129575</v>
      </c>
      <c r="F72" s="5">
        <f>F29</f>
        <v>17698184.4375</v>
      </c>
      <c r="G72" s="5">
        <f>G29</f>
        <v>19419101.493750002</v>
      </c>
      <c r="H72" s="5">
        <f>H29</f>
        <v>21307976.500781249</v>
      </c>
    </row>
    <row r="73" spans="1:13" x14ac:dyDescent="0.25">
      <c r="A73" s="6"/>
      <c r="B73" s="13" t="s">
        <v>55</v>
      </c>
      <c r="C73" s="6"/>
      <c r="D73" s="5">
        <f>D67</f>
        <v>4344975</v>
      </c>
      <c r="E73" s="5">
        <f>E67</f>
        <v>4667250</v>
      </c>
      <c r="F73" s="5">
        <f>F67</f>
        <v>5121746.4375</v>
      </c>
      <c r="G73" s="5">
        <f>G67</f>
        <v>5619613.3875000002</v>
      </c>
      <c r="H73" s="5">
        <f>H67</f>
        <v>6166556.9535937514</v>
      </c>
    </row>
    <row r="74" spans="1:13" x14ac:dyDescent="0.25">
      <c r="A74" s="6"/>
      <c r="B74" s="13" t="s">
        <v>57</v>
      </c>
      <c r="C74" s="6"/>
      <c r="D74" s="5">
        <f>SUM(D70:D72)-D73</f>
        <v>11862825</v>
      </c>
      <c r="E74" s="5">
        <f>SUM(E70:E72)-E73</f>
        <v>13109302.5</v>
      </c>
      <c r="F74" s="5">
        <f>SUM(F70:F72)-F73</f>
        <v>14384207.25</v>
      </c>
      <c r="G74" s="5">
        <f>SUM(G70:G72)-G73</f>
        <v>15780936.937500004</v>
      </c>
      <c r="H74" s="5">
        <f>SUM(H70:H72)-H73</f>
        <v>17319059.769374996</v>
      </c>
    </row>
    <row r="75" spans="1:13" x14ac:dyDescent="0.25">
      <c r="A75" s="6"/>
      <c r="B75" s="13" t="s">
        <v>58</v>
      </c>
      <c r="C75" s="5">
        <f>D74</f>
        <v>11862825</v>
      </c>
      <c r="D75" s="5">
        <f>IF(E74&gt;D74,E74-D74,0)</f>
        <v>1246477.5</v>
      </c>
      <c r="E75" s="5">
        <f>IF(F74&gt;E74,F74-E74,0)</f>
        <v>1274904.75</v>
      </c>
      <c r="F75" s="5">
        <f>IF(G74&gt;F74,G74-F74,0)</f>
        <v>1396729.6875000037</v>
      </c>
      <c r="G75" s="5">
        <f>IF(H74&gt;G74,H74-G74,0)</f>
        <v>1538122.8318749927</v>
      </c>
      <c r="H75" s="46">
        <v>1920436.06092188</v>
      </c>
    </row>
    <row r="76" spans="1:13" x14ac:dyDescent="0.25">
      <c r="A76" s="6"/>
      <c r="B76" s="13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</row>
    <row r="77" spans="1:13" x14ac:dyDescent="0.25">
      <c r="A77" s="6"/>
      <c r="B77" s="13"/>
      <c r="C77" s="6"/>
      <c r="D77" s="5">
        <f>D70+D71</f>
        <v>1507800</v>
      </c>
      <c r="E77" s="6"/>
      <c r="F77" s="6"/>
      <c r="G77" s="6"/>
      <c r="H77" s="6"/>
      <c r="I77" s="6"/>
      <c r="J77" s="6"/>
      <c r="K77" s="6"/>
      <c r="L77" s="6"/>
      <c r="M77" s="6"/>
    </row>
    <row r="78" spans="1:13" x14ac:dyDescent="0.25">
      <c r="A78" s="9"/>
      <c r="B78" s="21"/>
      <c r="C78" s="21"/>
      <c r="D78" s="21"/>
      <c r="E78" s="21"/>
      <c r="F78" s="21"/>
      <c r="G78" s="21"/>
      <c r="H78" s="6"/>
      <c r="I78" s="6"/>
      <c r="J78" s="6"/>
      <c r="K78" s="6"/>
      <c r="L78" s="6"/>
      <c r="M78" s="6"/>
    </row>
    <row r="79" spans="1:13" x14ac:dyDescent="0.25">
      <c r="A79" s="9"/>
      <c r="B79" s="22"/>
      <c r="C79" s="21"/>
      <c r="D79" s="21"/>
      <c r="E79" s="21"/>
      <c r="F79" s="21"/>
      <c r="G79" s="21"/>
      <c r="H79" s="6"/>
      <c r="I79" s="6"/>
      <c r="J79" s="6"/>
      <c r="K79" s="6"/>
      <c r="L79" s="6"/>
      <c r="M79" s="6"/>
    </row>
    <row r="80" spans="1:13" x14ac:dyDescent="0.25">
      <c r="A80" s="9"/>
      <c r="B80" s="20"/>
      <c r="C80" s="21"/>
      <c r="D80" s="21"/>
      <c r="E80" s="21"/>
      <c r="F80" s="21"/>
      <c r="G80" s="21"/>
      <c r="H80" s="6"/>
      <c r="I80" s="6"/>
      <c r="J80" s="6"/>
      <c r="K80" s="6"/>
      <c r="L80" s="6"/>
      <c r="M80" s="6"/>
    </row>
    <row r="81" spans="1:13" x14ac:dyDescent="0.25">
      <c r="A81" s="9" t="s">
        <v>43</v>
      </c>
      <c r="B81" s="20">
        <v>0.05</v>
      </c>
      <c r="C81" s="21"/>
      <c r="D81" s="21"/>
      <c r="E81" s="21"/>
      <c r="F81" s="21"/>
      <c r="G81" s="21"/>
      <c r="H81" s="6"/>
      <c r="I81" s="6"/>
      <c r="J81" s="6"/>
      <c r="K81" s="6"/>
      <c r="L81" s="6"/>
      <c r="M81" s="6"/>
    </row>
    <row r="82" spans="1:13" x14ac:dyDescent="0.25">
      <c r="A82" s="9" t="s">
        <v>63</v>
      </c>
      <c r="B82" s="22">
        <v>100000000</v>
      </c>
      <c r="C82" s="21"/>
      <c r="D82" s="21"/>
      <c r="E82" s="21"/>
      <c r="F82" s="21"/>
      <c r="G82" s="21"/>
      <c r="H82" s="6"/>
      <c r="I82" s="6"/>
      <c r="J82" s="6"/>
      <c r="K82" s="6"/>
      <c r="L82" s="6"/>
      <c r="M82" s="6"/>
    </row>
    <row r="83" spans="1:13" x14ac:dyDescent="0.25">
      <c r="A83" s="9" t="s">
        <v>64</v>
      </c>
      <c r="B83" s="22">
        <v>20000000</v>
      </c>
      <c r="C83" s="21"/>
      <c r="D83" s="21"/>
      <c r="E83" s="21"/>
      <c r="F83" s="21"/>
      <c r="G83" s="21"/>
      <c r="H83" s="6"/>
      <c r="I83" s="6"/>
      <c r="J83" s="6"/>
      <c r="K83" s="6"/>
      <c r="L83" s="6"/>
      <c r="M83" s="6"/>
    </row>
    <row r="84" spans="1:13" x14ac:dyDescent="0.25">
      <c r="A84" s="9" t="s">
        <v>65</v>
      </c>
      <c r="B84" s="22">
        <v>2000000</v>
      </c>
      <c r="C84" s="21" t="s">
        <v>60</v>
      </c>
      <c r="D84" s="21"/>
      <c r="E84" s="21"/>
      <c r="F84" s="21"/>
      <c r="G84" s="21"/>
      <c r="H84" s="6"/>
      <c r="I84" s="6"/>
      <c r="J84" s="6"/>
      <c r="K84" s="6"/>
      <c r="L84" s="6"/>
      <c r="M84" s="6"/>
    </row>
    <row r="85" spans="1:13" x14ac:dyDescent="0.25">
      <c r="A85" s="9" t="s">
        <v>66</v>
      </c>
      <c r="B85" s="22">
        <v>10000000</v>
      </c>
      <c r="C85" s="21"/>
      <c r="D85" s="21"/>
      <c r="E85" s="21"/>
      <c r="F85" s="21"/>
      <c r="G85" s="21"/>
      <c r="H85" s="6"/>
      <c r="I85" s="6"/>
      <c r="J85" s="6"/>
      <c r="K85" s="6"/>
      <c r="L85" s="6"/>
      <c r="M85" s="6"/>
    </row>
    <row r="86" spans="1:13" x14ac:dyDescent="0.25">
      <c r="A86" s="9" t="s">
        <v>67</v>
      </c>
      <c r="B86" s="22">
        <v>10000000</v>
      </c>
      <c r="C86" s="21" t="s">
        <v>60</v>
      </c>
      <c r="D86" s="21"/>
      <c r="E86" s="21"/>
      <c r="F86" s="21"/>
      <c r="G86" s="21"/>
      <c r="H86" s="6"/>
      <c r="I86" s="6"/>
      <c r="J86" s="6"/>
      <c r="K86" s="6"/>
      <c r="L86" s="6"/>
      <c r="M86" s="6"/>
    </row>
    <row r="87" spans="1:13" x14ac:dyDescent="0.25">
      <c r="A87" s="9" t="s">
        <v>68</v>
      </c>
      <c r="B87" s="20">
        <v>0.1</v>
      </c>
      <c r="C87" s="21" t="s">
        <v>69</v>
      </c>
      <c r="D87" s="21"/>
      <c r="E87" s="23"/>
      <c r="F87" s="21"/>
      <c r="G87" s="21"/>
      <c r="H87" s="6"/>
      <c r="I87" s="6"/>
      <c r="J87" s="6"/>
      <c r="K87" s="6"/>
      <c r="L87" s="6"/>
      <c r="M87" s="6"/>
    </row>
    <row r="88" spans="1:13" x14ac:dyDescent="0.25">
      <c r="A88" s="9" t="s">
        <v>70</v>
      </c>
      <c r="B88" s="21">
        <v>12000</v>
      </c>
      <c r="C88" s="21"/>
      <c r="D88" s="21"/>
      <c r="E88" s="21"/>
      <c r="F88" s="21"/>
      <c r="G88" s="21"/>
      <c r="H88" s="6"/>
      <c r="I88" s="6"/>
      <c r="J88" s="6"/>
      <c r="K88" s="6"/>
      <c r="L88" s="6"/>
      <c r="M88" s="6"/>
    </row>
    <row r="89" spans="1:13" x14ac:dyDescent="0.25">
      <c r="A89" s="9" t="s">
        <v>72</v>
      </c>
      <c r="B89" s="24">
        <v>3000</v>
      </c>
      <c r="C89" s="21" t="s">
        <v>71</v>
      </c>
      <c r="D89" s="21">
        <v>2000</v>
      </c>
      <c r="E89" s="21"/>
      <c r="F89" s="21"/>
      <c r="G89" s="21"/>
      <c r="H89" s="6"/>
      <c r="I89" s="6"/>
      <c r="J89" s="6"/>
      <c r="K89" s="6"/>
      <c r="L89" s="6"/>
      <c r="M89" s="6"/>
    </row>
    <row r="90" spans="1:13" x14ac:dyDescent="0.25">
      <c r="A90" s="9" t="s">
        <v>73</v>
      </c>
      <c r="B90" s="20"/>
      <c r="C90" s="21"/>
      <c r="D90" s="21"/>
      <c r="E90" s="21"/>
      <c r="F90" s="21"/>
      <c r="G90" s="21"/>
      <c r="H90" s="6"/>
      <c r="I90" s="6"/>
      <c r="J90" s="6"/>
      <c r="K90" s="6"/>
      <c r="L90" s="6"/>
      <c r="M90" s="6"/>
    </row>
    <row r="91" spans="1:13" x14ac:dyDescent="0.25">
      <c r="A91" s="9" t="s">
        <v>74</v>
      </c>
      <c r="B91" s="20">
        <v>0.33</v>
      </c>
      <c r="C91" s="21"/>
      <c r="D91" s="21"/>
      <c r="E91" s="21"/>
      <c r="F91" s="21"/>
      <c r="G91" s="21"/>
      <c r="H91" s="6"/>
      <c r="I91" s="6"/>
      <c r="J91" s="6"/>
      <c r="K91" s="6"/>
      <c r="L91" s="6"/>
      <c r="M91" s="6"/>
    </row>
    <row r="92" spans="1:13" x14ac:dyDescent="0.25">
      <c r="A92" s="9" t="s">
        <v>115</v>
      </c>
      <c r="B92" s="22">
        <v>4500</v>
      </c>
      <c r="C92" s="21" t="s">
        <v>3</v>
      </c>
      <c r="D92" s="21"/>
      <c r="E92" s="21"/>
      <c r="F92" s="21"/>
      <c r="G92" s="21"/>
      <c r="H92" s="6"/>
      <c r="I92" s="6"/>
      <c r="J92" s="6"/>
      <c r="K92" s="6"/>
      <c r="L92" s="6"/>
      <c r="M92" s="6"/>
    </row>
    <row r="93" spans="1:13" x14ac:dyDescent="0.25">
      <c r="A93" s="9" t="s">
        <v>116</v>
      </c>
      <c r="B93" s="22">
        <v>7200</v>
      </c>
      <c r="C93" s="21" t="s">
        <v>3</v>
      </c>
      <c r="D93" s="21"/>
      <c r="E93" s="21"/>
      <c r="F93" s="21"/>
      <c r="G93" s="21"/>
      <c r="H93" s="6"/>
      <c r="I93" s="6"/>
      <c r="J93" s="6"/>
      <c r="K93" s="6"/>
      <c r="L93" s="6"/>
      <c r="M93" s="6"/>
    </row>
    <row r="94" spans="1:13" x14ac:dyDescent="0.25">
      <c r="A94" s="9" t="s">
        <v>75</v>
      </c>
      <c r="B94" s="21">
        <v>30</v>
      </c>
      <c r="C94" s="21" t="s">
        <v>76</v>
      </c>
      <c r="D94" s="21"/>
      <c r="E94" s="21"/>
      <c r="F94" s="21"/>
      <c r="G94" s="21"/>
      <c r="H94" s="6"/>
      <c r="I94" s="6"/>
      <c r="J94" s="6"/>
      <c r="K94" s="6"/>
      <c r="L94" s="6"/>
      <c r="M94" s="6"/>
    </row>
    <row r="95" spans="1:13" x14ac:dyDescent="0.25">
      <c r="A95" s="9" t="s">
        <v>77</v>
      </c>
      <c r="B95" s="20">
        <v>0.9</v>
      </c>
      <c r="C95" s="21"/>
      <c r="D95" s="21"/>
      <c r="E95" s="21"/>
      <c r="F95" s="21"/>
      <c r="G95" s="21"/>
      <c r="H95" s="6"/>
      <c r="I95" s="6"/>
      <c r="J95" s="6"/>
      <c r="K95" s="6"/>
      <c r="L95" s="6"/>
      <c r="M95" s="6"/>
    </row>
    <row r="96" spans="1:13" x14ac:dyDescent="0.25">
      <c r="A96" s="9" t="s">
        <v>78</v>
      </c>
      <c r="B96" s="20">
        <v>0.1</v>
      </c>
      <c r="C96" s="20">
        <f>B96+B95</f>
        <v>1</v>
      </c>
      <c r="D96" s="21"/>
      <c r="E96" s="21"/>
      <c r="F96" s="21"/>
      <c r="G96" s="21"/>
      <c r="H96" s="6"/>
      <c r="I96" s="6"/>
      <c r="J96" s="6"/>
      <c r="K96" s="6"/>
      <c r="L96" s="6"/>
      <c r="M96" s="6"/>
    </row>
    <row r="97" spans="1:13" x14ac:dyDescent="0.25">
      <c r="A97" s="9" t="s">
        <v>232</v>
      </c>
      <c r="B97" s="21">
        <v>5</v>
      </c>
      <c r="C97" s="21" t="s">
        <v>1</v>
      </c>
      <c r="D97" s="21"/>
      <c r="E97" s="21"/>
      <c r="F97" s="21"/>
      <c r="G97" s="21"/>
      <c r="H97" s="6"/>
      <c r="I97" s="6"/>
      <c r="J97" s="6"/>
      <c r="K97" s="6"/>
      <c r="L97" s="6"/>
      <c r="M97" s="6"/>
    </row>
    <row r="98" spans="1:13" x14ac:dyDescent="0.25">
      <c r="A98" s="9" t="s">
        <v>79</v>
      </c>
      <c r="B98" s="21"/>
      <c r="C98" s="21"/>
      <c r="D98" s="21"/>
      <c r="E98" s="21"/>
      <c r="F98" s="21"/>
      <c r="G98" s="21"/>
      <c r="H98" s="6"/>
      <c r="I98" s="6"/>
      <c r="J98" s="6"/>
      <c r="K98" s="6"/>
      <c r="L98" s="6"/>
      <c r="M98" s="6"/>
    </row>
    <row r="99" spans="1:13" x14ac:dyDescent="0.25">
      <c r="A99" s="9" t="s">
        <v>80</v>
      </c>
      <c r="B99" s="25">
        <v>0.21</v>
      </c>
      <c r="C99" s="21" t="s">
        <v>81</v>
      </c>
      <c r="D99" s="21"/>
      <c r="E99" s="21"/>
      <c r="F99" s="21"/>
      <c r="G99" s="21"/>
      <c r="H99" s="6"/>
      <c r="I99" s="6"/>
      <c r="J99" s="6"/>
      <c r="K99" s="6"/>
      <c r="L99" s="6"/>
      <c r="M99" s="6"/>
    </row>
    <row r="100" spans="1:13" x14ac:dyDescent="0.25">
      <c r="A100" s="9" t="s">
        <v>82</v>
      </c>
      <c r="B100" s="20">
        <v>0.05</v>
      </c>
      <c r="C100" s="20">
        <v>0.06</v>
      </c>
      <c r="D100" s="20">
        <v>0.03</v>
      </c>
      <c r="E100" s="20">
        <v>0.02</v>
      </c>
      <c r="F100" s="20"/>
      <c r="G100" s="21"/>
      <c r="H100" s="6"/>
      <c r="I100" s="6"/>
      <c r="J100" s="6"/>
      <c r="K100" s="6"/>
      <c r="L100" s="6"/>
      <c r="M100" s="6"/>
    </row>
    <row r="101" spans="1:13" x14ac:dyDescent="0.25">
      <c r="A101" s="9" t="s">
        <v>83</v>
      </c>
      <c r="B101" s="26">
        <v>0.38500000000000001</v>
      </c>
      <c r="C101" s="21"/>
      <c r="D101" s="21"/>
      <c r="E101" s="21"/>
      <c r="F101" s="21"/>
      <c r="G101" s="21"/>
      <c r="H101" s="6"/>
      <c r="I101" s="6"/>
      <c r="J101" s="6"/>
      <c r="K101" s="6"/>
      <c r="L101" s="6"/>
      <c r="M101" s="6"/>
    </row>
    <row r="102" spans="1:13" x14ac:dyDescent="0.25">
      <c r="A102" s="9" t="s">
        <v>84</v>
      </c>
      <c r="B102" s="21">
        <v>5</v>
      </c>
      <c r="C102" s="21" t="s">
        <v>1</v>
      </c>
      <c r="D102" s="21"/>
      <c r="E102" s="21"/>
      <c r="F102" s="21"/>
      <c r="G102" s="21"/>
      <c r="H102" s="6"/>
      <c r="I102" s="6"/>
      <c r="J102" s="6"/>
      <c r="K102" s="6"/>
      <c r="L102" s="6"/>
      <c r="M102" s="6"/>
    </row>
    <row r="103" spans="1:13" x14ac:dyDescent="0.25">
      <c r="A103" s="9" t="s">
        <v>85</v>
      </c>
      <c r="B103" s="20">
        <v>0.2</v>
      </c>
      <c r="C103" s="21"/>
      <c r="D103" s="21"/>
      <c r="E103" s="21"/>
      <c r="F103" s="21"/>
      <c r="G103" s="21"/>
      <c r="H103" s="6"/>
      <c r="I103" s="6"/>
      <c r="J103" s="6"/>
      <c r="K103" s="6"/>
      <c r="L103" s="6"/>
      <c r="M103" s="6"/>
    </row>
    <row r="104" spans="1:13" x14ac:dyDescent="0.25">
      <c r="A104" s="9"/>
      <c r="B104" s="21"/>
      <c r="C104" s="21"/>
      <c r="D104" s="21"/>
      <c r="E104" s="21"/>
      <c r="F104" s="21"/>
      <c r="G104" s="21"/>
      <c r="H104" s="6"/>
      <c r="I104" s="6"/>
      <c r="J104" s="6"/>
      <c r="K104" s="6"/>
      <c r="L104" s="6"/>
      <c r="M104" s="6"/>
    </row>
    <row r="105" spans="1:13" x14ac:dyDescent="0.25">
      <c r="A105" s="9"/>
      <c r="B105" s="27"/>
      <c r="C105" s="27">
        <v>1</v>
      </c>
      <c r="D105" s="27">
        <v>2</v>
      </c>
      <c r="E105" s="27">
        <v>3</v>
      </c>
      <c r="F105" s="27">
        <v>4</v>
      </c>
      <c r="G105" s="27">
        <v>5</v>
      </c>
      <c r="H105" s="6"/>
      <c r="I105" s="6"/>
      <c r="J105" s="6"/>
      <c r="K105" s="6"/>
      <c r="L105" s="6"/>
      <c r="M105" s="6"/>
    </row>
    <row r="106" spans="1:13" x14ac:dyDescent="0.25">
      <c r="A106" s="9" t="s">
        <v>86</v>
      </c>
      <c r="B106" s="21"/>
      <c r="C106" s="21">
        <f>B89*12</f>
        <v>36000</v>
      </c>
      <c r="D106" s="21">
        <f>ROUND('Analisis de sensibilidad1'!C106*(1+'Analisis de sensibilidad1'!$B$100),0)</f>
        <v>37800</v>
      </c>
      <c r="E106" s="21">
        <f>ROUND(D106*(1+'Analisis de sensibilidad1'!$C$100),0)</f>
        <v>40068</v>
      </c>
      <c r="F106" s="21">
        <f>ROUND(E106*(1+$D$100),0)</f>
        <v>41270</v>
      </c>
      <c r="G106" s="21">
        <f>ROUND(F106*(1+$E$100),0)</f>
        <v>42095</v>
      </c>
      <c r="H106" s="6"/>
      <c r="I106" s="6"/>
      <c r="J106" s="6"/>
      <c r="K106" s="6"/>
      <c r="L106" s="6"/>
      <c r="M106" s="6"/>
    </row>
    <row r="107" spans="1:13" x14ac:dyDescent="0.25">
      <c r="A107" s="9" t="s">
        <v>87</v>
      </c>
      <c r="B107" s="21"/>
      <c r="C107" s="21">
        <f>$B$88*12</f>
        <v>144000</v>
      </c>
      <c r="D107" s="21">
        <f>'Analisis de sensibilidad1'!$B$88*12</f>
        <v>144000</v>
      </c>
      <c r="E107" s="21">
        <f>'Analisis de sensibilidad1'!$B$88*12</f>
        <v>144000</v>
      </c>
      <c r="F107" s="21">
        <f>'Analisis de sensibilidad1'!$B$88*12</f>
        <v>144000</v>
      </c>
      <c r="G107" s="21">
        <f>'Analisis de sensibilidad1'!$B$88*12</f>
        <v>144000</v>
      </c>
      <c r="H107" s="6"/>
      <c r="I107" s="6"/>
      <c r="J107" s="6"/>
      <c r="K107" s="6"/>
      <c r="L107" s="6"/>
      <c r="M107" s="6"/>
    </row>
    <row r="108" spans="1:13" x14ac:dyDescent="0.25">
      <c r="A108" s="9" t="s">
        <v>88</v>
      </c>
      <c r="B108" s="21"/>
      <c r="C108" s="21">
        <f>IF(C106&lt;C107,C106,C107)</f>
        <v>36000</v>
      </c>
      <c r="D108" s="21">
        <f>IF(D106&lt;D107,D106,D107)</f>
        <v>37800</v>
      </c>
      <c r="E108" s="21">
        <f>IF(E106&lt;E107,E106,E107)</f>
        <v>40068</v>
      </c>
      <c r="F108" s="21">
        <f>IF(F106&lt;F107,F106,F107)</f>
        <v>41270</v>
      </c>
      <c r="G108" s="21">
        <f>IF(G106&lt;G107,G106,G107)</f>
        <v>42095</v>
      </c>
      <c r="H108" s="6"/>
      <c r="I108" s="6"/>
      <c r="J108" s="6"/>
      <c r="K108" s="6"/>
      <c r="L108" s="6"/>
      <c r="M108" s="6"/>
    </row>
    <row r="109" spans="1:13" x14ac:dyDescent="0.25">
      <c r="A109" s="9" t="s">
        <v>119</v>
      </c>
      <c r="B109" s="21"/>
      <c r="C109" s="21">
        <f>C106</f>
        <v>36000</v>
      </c>
      <c r="D109" s="21">
        <f>D106</f>
        <v>37800</v>
      </c>
      <c r="E109" s="21">
        <f>E106</f>
        <v>40068</v>
      </c>
      <c r="F109" s="21">
        <f>F106</f>
        <v>41270</v>
      </c>
      <c r="G109" s="21">
        <f>G106</f>
        <v>42095</v>
      </c>
      <c r="H109" s="6"/>
      <c r="I109" s="6"/>
      <c r="J109" s="6"/>
      <c r="K109" s="6"/>
      <c r="L109" s="6"/>
      <c r="M109" s="6"/>
    </row>
    <row r="110" spans="1:13" x14ac:dyDescent="0.25">
      <c r="A110" s="9" t="s">
        <v>120</v>
      </c>
      <c r="B110" s="21"/>
      <c r="C110" s="14">
        <f>'Analisis de sensibilidad1'!D89</f>
        <v>2000</v>
      </c>
      <c r="D110" s="14">
        <f>ROUND('Analisis de sensibilidad1'!C110*(1+$E$5),0)</f>
        <v>2090</v>
      </c>
      <c r="E110" s="14">
        <f>ROUND(D110*(1+$E$5),0)</f>
        <v>2184</v>
      </c>
      <c r="F110" s="14">
        <f>ROUND(E110*(1+$E$5),0)</f>
        <v>2282</v>
      </c>
      <c r="G110" s="14">
        <f>ROUND(F110*(1+$E$5),0)</f>
        <v>2385</v>
      </c>
      <c r="H110" s="6"/>
      <c r="I110" s="6"/>
      <c r="J110" s="6"/>
      <c r="K110" s="6"/>
      <c r="L110" s="6"/>
      <c r="M110" s="6"/>
    </row>
    <row r="111" spans="1:13" x14ac:dyDescent="0.25">
      <c r="A111" s="9" t="s">
        <v>117</v>
      </c>
      <c r="B111" s="21"/>
      <c r="C111" s="22">
        <f>B92</f>
        <v>4500</v>
      </c>
      <c r="D111" s="5">
        <f>'Analisis de sensibilidad1'!C111*(1+$C$8)</f>
        <v>4725</v>
      </c>
      <c r="E111" s="5">
        <f t="shared" ref="E111:G112" si="3">D111*(1+$C$8)</f>
        <v>4961.25</v>
      </c>
      <c r="F111" s="5">
        <f t="shared" si="3"/>
        <v>5209.3125</v>
      </c>
      <c r="G111" s="5">
        <f t="shared" si="3"/>
        <v>5469.7781249999998</v>
      </c>
      <c r="H111" s="6"/>
      <c r="I111" s="6"/>
      <c r="J111" s="6"/>
      <c r="K111" s="6"/>
      <c r="L111" s="6"/>
      <c r="M111" s="6"/>
    </row>
    <row r="112" spans="1:13" x14ac:dyDescent="0.25">
      <c r="A112" s="9" t="s">
        <v>118</v>
      </c>
      <c r="B112" s="21"/>
      <c r="C112" s="22">
        <f>B93</f>
        <v>7200</v>
      </c>
      <c r="D112" s="5">
        <f>'Analisis de sensibilidad1'!C112*(1+$C$8)</f>
        <v>7560</v>
      </c>
      <c r="E112" s="5">
        <f t="shared" si="3"/>
        <v>7938</v>
      </c>
      <c r="F112" s="5">
        <f t="shared" si="3"/>
        <v>8334.9</v>
      </c>
      <c r="G112" s="5">
        <f t="shared" si="3"/>
        <v>8751.6450000000004</v>
      </c>
      <c r="H112" s="6"/>
      <c r="I112" s="6"/>
      <c r="J112" s="6"/>
      <c r="K112" s="6"/>
      <c r="L112" s="6"/>
      <c r="M112" s="6"/>
    </row>
    <row r="113" spans="1:13" x14ac:dyDescent="0.25">
      <c r="A113" s="9"/>
      <c r="B113" s="21"/>
      <c r="C113" s="21" t="s">
        <v>128</v>
      </c>
      <c r="D113" s="21" t="s">
        <v>129</v>
      </c>
      <c r="E113" s="21" t="s">
        <v>130</v>
      </c>
      <c r="F113" s="21" t="s">
        <v>131</v>
      </c>
      <c r="G113" s="21" t="s">
        <v>132</v>
      </c>
      <c r="H113" s="6"/>
      <c r="I113" s="6"/>
      <c r="J113" s="6"/>
      <c r="K113" s="6"/>
      <c r="L113" s="6"/>
      <c r="M113" s="6"/>
    </row>
    <row r="114" spans="1:13" x14ac:dyDescent="0.25">
      <c r="A114" s="9" t="s">
        <v>59</v>
      </c>
      <c r="B114" s="21"/>
      <c r="C114" s="22">
        <f>+'Analisis de sensibilidad1'!C109*'Analisis de sensibilidad1'!C111+'Analisis de sensibilidad1'!C110*'Analisis de sensibilidad1'!C112</f>
        <v>176400000</v>
      </c>
      <c r="D114" s="22">
        <f>+D109*D111+D110*D112</f>
        <v>194405400</v>
      </c>
      <c r="E114" s="22">
        <f>+E109*E111+E110*E112</f>
        <v>216123957</v>
      </c>
      <c r="F114" s="22">
        <f>+F109*F111+F110*F112</f>
        <v>234008568.67500001</v>
      </c>
      <c r="G114" s="22">
        <f>+G109*G111+G110*G112</f>
        <v>251122983.49687499</v>
      </c>
      <c r="H114" s="6"/>
      <c r="I114" s="6" t="s">
        <v>121</v>
      </c>
      <c r="J114" s="6"/>
      <c r="K114" s="6"/>
      <c r="L114" s="6"/>
      <c r="M114" s="6"/>
    </row>
    <row r="115" spans="1:13" x14ac:dyDescent="0.25">
      <c r="A115" s="28" t="s">
        <v>89</v>
      </c>
      <c r="B115" s="21"/>
      <c r="C115" s="22">
        <f>('Analisis de sensibilidad1'!B86*12)+(C114*'Analisis de sensibilidad1'!B87)</f>
        <v>137640000</v>
      </c>
      <c r="D115" s="22">
        <f>+C115*(1+$C$21)</f>
        <v>144522000</v>
      </c>
      <c r="E115" s="22">
        <f>+D115*(1+$C$21)</f>
        <v>151748100</v>
      </c>
      <c r="F115" s="22">
        <f>+E115*(1+$C$21)</f>
        <v>159335505</v>
      </c>
      <c r="G115" s="22">
        <f>+F115*(1+$C$21)</f>
        <v>167302280.25</v>
      </c>
      <c r="H115" s="6"/>
      <c r="I115" s="6"/>
      <c r="J115" s="6"/>
      <c r="K115" s="6"/>
      <c r="L115" s="6"/>
      <c r="M115" s="6"/>
    </row>
    <row r="116" spans="1:13" x14ac:dyDescent="0.25">
      <c r="A116" s="29" t="s">
        <v>90</v>
      </c>
      <c r="B116" s="21"/>
      <c r="C116" s="30">
        <f>C114-C115</f>
        <v>38760000</v>
      </c>
      <c r="D116" s="30">
        <f>D114-D115</f>
        <v>49883400</v>
      </c>
      <c r="E116" s="30">
        <f>E114-E115</f>
        <v>64375857</v>
      </c>
      <c r="F116" s="30">
        <f>F114-F115</f>
        <v>74673063.675000012</v>
      </c>
      <c r="G116" s="30">
        <f>G114-G115</f>
        <v>83820703.246874988</v>
      </c>
      <c r="H116" s="6"/>
      <c r="I116" s="6"/>
      <c r="J116" s="6"/>
      <c r="K116" s="6"/>
      <c r="L116" s="6"/>
      <c r="M116" s="6"/>
    </row>
    <row r="117" spans="1:13" x14ac:dyDescent="0.25">
      <c r="A117" s="28" t="s">
        <v>91</v>
      </c>
      <c r="B117" s="21"/>
      <c r="C117" s="22">
        <f>('Analisis de sensibilidad1'!B84*12)</f>
        <v>24000000</v>
      </c>
      <c r="D117" s="22">
        <f>C117*(1+$C$21)</f>
        <v>25200000</v>
      </c>
      <c r="E117" s="22">
        <f>D117*(1+$C$21)</f>
        <v>26460000</v>
      </c>
      <c r="F117" s="22">
        <f>E117*(1+$C$21)</f>
        <v>27783000</v>
      </c>
      <c r="G117" s="22">
        <f>F117*(1+$C$21)</f>
        <v>29172150</v>
      </c>
      <c r="H117" s="6"/>
      <c r="I117" s="6"/>
      <c r="J117" s="6"/>
      <c r="K117" s="6"/>
      <c r="L117" s="6"/>
      <c r="M117" s="6"/>
    </row>
    <row r="118" spans="1:13" x14ac:dyDescent="0.25">
      <c r="A118" s="28" t="s">
        <v>92</v>
      </c>
      <c r="B118" s="21"/>
      <c r="C118" s="22">
        <f>('Analisis de sensibilidad1'!$B$82+'Analisis de sensibilidad1'!$B$83+'Analisis de sensibilidad1'!$B$85)/5</f>
        <v>26000000</v>
      </c>
      <c r="D118" s="22">
        <f>('Analisis de sensibilidad1'!$B$82+'Analisis de sensibilidad1'!$B$83+'Analisis de sensibilidad1'!$B$85)/5</f>
        <v>26000000</v>
      </c>
      <c r="E118" s="22">
        <f>('Analisis de sensibilidad1'!$B$82+'Analisis de sensibilidad1'!$B$83+'Analisis de sensibilidad1'!$B$85)/5</f>
        <v>26000000</v>
      </c>
      <c r="F118" s="22">
        <f>('Analisis de sensibilidad1'!$B$82+'Analisis de sensibilidad1'!$B$83+'Analisis de sensibilidad1'!$B$85)/5</f>
        <v>26000000</v>
      </c>
      <c r="G118" s="22">
        <f>('Analisis de sensibilidad1'!$B$82+'Analisis de sensibilidad1'!$B$83+'Analisis de sensibilidad1'!$B$85)/5</f>
        <v>26000000</v>
      </c>
      <c r="H118" s="6"/>
      <c r="I118" s="6"/>
      <c r="J118" s="6"/>
      <c r="K118" s="6"/>
      <c r="L118" s="6"/>
      <c r="M118" s="6"/>
    </row>
    <row r="119" spans="1:13" x14ac:dyDescent="0.25">
      <c r="A119" s="29" t="s">
        <v>93</v>
      </c>
      <c r="B119" s="21"/>
      <c r="C119" s="30">
        <f>C116-C117-C118</f>
        <v>-11240000</v>
      </c>
      <c r="D119" s="30">
        <f>D116-D117-D118</f>
        <v>-1316600</v>
      </c>
      <c r="E119" s="30">
        <f>E116-E117-E118</f>
        <v>11915857</v>
      </c>
      <c r="F119" s="30">
        <f>F116-F117-F118</f>
        <v>20890063.675000012</v>
      </c>
      <c r="G119" s="30">
        <f>G116-G117-G118</f>
        <v>28648553.246874988</v>
      </c>
      <c r="H119" s="6"/>
      <c r="I119" s="6"/>
      <c r="J119" s="6"/>
      <c r="K119" s="6"/>
      <c r="L119" s="6"/>
      <c r="M119" s="6"/>
    </row>
    <row r="120" spans="1:13" x14ac:dyDescent="0.25">
      <c r="A120" s="28" t="s">
        <v>94</v>
      </c>
      <c r="B120" s="21"/>
      <c r="C120" s="22">
        <f>IF(C119&gt;0,C119*'Analisis de sensibilidad1'!$B$101,0)</f>
        <v>0</v>
      </c>
      <c r="D120" s="22">
        <f>IF(D119&gt;0,D119*'Analisis de sensibilidad1'!$B$101,0)</f>
        <v>0</v>
      </c>
      <c r="E120" s="22">
        <f>IF(E119&gt;0,E119*'Analisis de sensibilidad1'!$B$101,0)</f>
        <v>4587604.9450000003</v>
      </c>
      <c r="F120" s="22">
        <f>IF(F119&gt;0,F119*'Analisis de sensibilidad1'!$B$101,0)</f>
        <v>8042674.514875005</v>
      </c>
      <c r="G120" s="22">
        <f>IF(G119&gt;0,G119*'Analisis de sensibilidad1'!$B$101,0)</f>
        <v>11029693.00004687</v>
      </c>
      <c r="H120" s="6"/>
      <c r="I120" s="6"/>
      <c r="J120" s="6"/>
      <c r="K120" s="6"/>
      <c r="L120" s="6"/>
      <c r="M120" s="6"/>
    </row>
    <row r="121" spans="1:13" x14ac:dyDescent="0.25">
      <c r="A121" s="29" t="s">
        <v>95</v>
      </c>
      <c r="B121" s="21"/>
      <c r="C121" s="30">
        <f>C119-C120</f>
        <v>-11240000</v>
      </c>
      <c r="D121" s="30">
        <f>D119-D120</f>
        <v>-1316600</v>
      </c>
      <c r="E121" s="30">
        <f>E119-E120</f>
        <v>7328252.0549999997</v>
      </c>
      <c r="F121" s="30">
        <f>F119-F120</f>
        <v>12847389.160125006</v>
      </c>
      <c r="G121" s="30">
        <f>G119-G120</f>
        <v>17618860.246828116</v>
      </c>
      <c r="H121" s="6"/>
      <c r="I121" s="6"/>
      <c r="J121" s="6"/>
      <c r="K121" s="6"/>
      <c r="L121" s="6"/>
      <c r="M121" s="6"/>
    </row>
    <row r="122" spans="1:13" x14ac:dyDescent="0.25">
      <c r="A122" s="28" t="s">
        <v>96</v>
      </c>
      <c r="B122" s="21"/>
      <c r="C122" s="22">
        <f>C118</f>
        <v>26000000</v>
      </c>
      <c r="D122" s="22">
        <f>D118</f>
        <v>26000000</v>
      </c>
      <c r="E122" s="22">
        <f>E118</f>
        <v>26000000</v>
      </c>
      <c r="F122" s="22">
        <f>F118</f>
        <v>26000000</v>
      </c>
      <c r="G122" s="22">
        <f>G118</f>
        <v>26000000</v>
      </c>
      <c r="H122" s="6"/>
      <c r="I122" s="6"/>
      <c r="J122" s="6"/>
      <c r="K122" s="6"/>
      <c r="L122" s="6"/>
      <c r="M122" s="6"/>
    </row>
    <row r="123" spans="1:13" x14ac:dyDescent="0.25">
      <c r="A123" s="29" t="s">
        <v>97</v>
      </c>
      <c r="B123" s="21"/>
      <c r="C123" s="30">
        <f>C122+C121</f>
        <v>14760000</v>
      </c>
      <c r="D123" s="30">
        <f>D122+D121</f>
        <v>24683400</v>
      </c>
      <c r="E123" s="30">
        <f>E122+E121</f>
        <v>33328252.055</v>
      </c>
      <c r="F123" s="30">
        <f>F122+F121</f>
        <v>38847389.160125002</v>
      </c>
      <c r="G123" s="30">
        <f>G122+G121</f>
        <v>43618860.246828116</v>
      </c>
      <c r="H123" s="6"/>
      <c r="I123" s="6"/>
      <c r="J123" s="6"/>
      <c r="K123" s="6"/>
      <c r="L123" s="6"/>
      <c r="M123" s="6"/>
    </row>
    <row r="124" spans="1:13" x14ac:dyDescent="0.25">
      <c r="A124" s="28" t="s">
        <v>98</v>
      </c>
      <c r="B124" s="22">
        <f>B79+'Analisis de sensibilidad1'!B85</f>
        <v>10000000</v>
      </c>
      <c r="C124" s="21"/>
      <c r="D124" s="21"/>
      <c r="E124" s="21"/>
      <c r="F124" s="21"/>
      <c r="G124" s="21"/>
      <c r="H124" s="6"/>
      <c r="I124" s="6"/>
      <c r="J124" s="6"/>
      <c r="K124" s="6"/>
      <c r="L124" s="6"/>
      <c r="M124" s="6"/>
    </row>
    <row r="125" spans="1:13" x14ac:dyDescent="0.25">
      <c r="A125" s="28" t="s">
        <v>99</v>
      </c>
      <c r="B125" s="22">
        <f>'Analisis de sensibilidad1'!B82+'Analisis de sensibilidad1'!B83</f>
        <v>120000000</v>
      </c>
      <c r="C125" s="21"/>
      <c r="D125" s="21"/>
      <c r="E125" s="21"/>
      <c r="F125" s="21"/>
      <c r="G125" s="21"/>
      <c r="H125" s="6"/>
      <c r="I125" s="6"/>
      <c r="J125" s="6"/>
      <c r="K125" s="6"/>
      <c r="L125" s="6"/>
      <c r="M125" s="6"/>
    </row>
    <row r="126" spans="1:13" x14ac:dyDescent="0.25">
      <c r="A126" s="28" t="s">
        <v>100</v>
      </c>
      <c r="B126" s="22">
        <f t="shared" ref="B126:G126" si="4">C75</f>
        <v>11862825</v>
      </c>
      <c r="C126" s="5">
        <f t="shared" si="4"/>
        <v>1246477.5</v>
      </c>
      <c r="D126" s="5">
        <f t="shared" si="4"/>
        <v>1274904.75</v>
      </c>
      <c r="E126" s="5">
        <f t="shared" si="4"/>
        <v>1396729.6875000037</v>
      </c>
      <c r="F126" s="5">
        <f t="shared" si="4"/>
        <v>1538122.8318749927</v>
      </c>
      <c r="G126" s="5">
        <f t="shared" si="4"/>
        <v>1920436.06092188</v>
      </c>
      <c r="H126" s="6"/>
      <c r="I126" s="6"/>
      <c r="J126" s="6"/>
      <c r="K126" s="6"/>
      <c r="L126" s="6"/>
      <c r="M126" s="6"/>
    </row>
    <row r="127" spans="1:13" x14ac:dyDescent="0.25">
      <c r="A127" s="28" t="s">
        <v>101</v>
      </c>
      <c r="B127" s="22">
        <v>0</v>
      </c>
      <c r="C127" s="21"/>
      <c r="D127" s="21"/>
      <c r="E127" s="21"/>
      <c r="F127" s="21"/>
      <c r="G127" s="21"/>
      <c r="H127" s="6"/>
      <c r="I127" s="6"/>
      <c r="J127" s="6"/>
      <c r="K127" s="6"/>
      <c r="L127" s="6"/>
      <c r="M127" s="6"/>
    </row>
    <row r="128" spans="1:13" x14ac:dyDescent="0.25">
      <c r="A128" s="28" t="s">
        <v>102</v>
      </c>
      <c r="B128" s="21"/>
      <c r="C128" s="21"/>
      <c r="D128" s="21"/>
      <c r="E128" s="21"/>
      <c r="F128" s="21"/>
      <c r="G128" s="22">
        <f>SUM(B126:G126)</f>
        <v>19239495.830296878</v>
      </c>
      <c r="H128" s="6"/>
      <c r="I128" s="6"/>
      <c r="J128" s="6"/>
      <c r="K128" s="6"/>
      <c r="L128" s="6"/>
      <c r="M128" s="6"/>
    </row>
    <row r="129" spans="1:13" x14ac:dyDescent="0.25">
      <c r="A129" s="29" t="s">
        <v>103</v>
      </c>
      <c r="B129" s="30">
        <f t="shared" ref="B129:G129" si="5">B123-B124-B125-B126-B127+B128</f>
        <v>-141862825</v>
      </c>
      <c r="C129" s="30">
        <f t="shared" si="5"/>
        <v>13513522.5</v>
      </c>
      <c r="D129" s="30">
        <f t="shared" si="5"/>
        <v>23408495.25</v>
      </c>
      <c r="E129" s="30">
        <f t="shared" si="5"/>
        <v>31931522.367499996</v>
      </c>
      <c r="F129" s="30">
        <f t="shared" si="5"/>
        <v>37309266.328250006</v>
      </c>
      <c r="G129" s="30">
        <f t="shared" si="5"/>
        <v>60937920.01620312</v>
      </c>
      <c r="H129" s="19">
        <f>SUM(C129:G129)</f>
        <v>167100726.4619531</v>
      </c>
      <c r="I129" s="6"/>
      <c r="J129" s="6"/>
      <c r="K129" s="6"/>
      <c r="L129" s="6"/>
      <c r="M129" s="6"/>
    </row>
    <row r="130" spans="1:13" x14ac:dyDescent="0.25">
      <c r="A130" s="29" t="s">
        <v>104</v>
      </c>
      <c r="B130" s="30"/>
      <c r="C130" s="30">
        <f>PV($B$135,'Analisis de sensibilidad1'!C105,,-C129)</f>
        <v>11893246.115460269</v>
      </c>
      <c r="D130" s="30">
        <f>PV($B$135,D105,,-D129)</f>
        <v>18131643.493343659</v>
      </c>
      <c r="E130" s="30">
        <f>PV($B$135,E105,,-E129)</f>
        <v>21767829.929085851</v>
      </c>
      <c r="F130" s="30">
        <f>PV($B$135,F105,,-F129)</f>
        <v>22384327.804786749</v>
      </c>
      <c r="G130" s="30">
        <f>PV($B$135,G105,,-G129)</f>
        <v>32177093.448064294</v>
      </c>
      <c r="H130" s="19">
        <f>SUM(C130:G130)</f>
        <v>106354140.79074082</v>
      </c>
      <c r="I130" s="19">
        <f>H130+B129</f>
        <v>-35508684.209259182</v>
      </c>
      <c r="J130" s="6"/>
      <c r="K130" s="6"/>
      <c r="L130" s="6"/>
      <c r="M130" s="6"/>
    </row>
    <row r="131" spans="1:13" x14ac:dyDescent="0.25">
      <c r="A131" s="9"/>
      <c r="B131" s="21"/>
      <c r="C131" s="21"/>
      <c r="D131" s="21"/>
      <c r="E131" s="21"/>
      <c r="F131" s="21"/>
      <c r="G131" s="21"/>
      <c r="H131" s="6"/>
      <c r="I131" s="6"/>
      <c r="J131" s="6"/>
      <c r="K131" s="6"/>
      <c r="L131" s="6"/>
      <c r="M131" s="6"/>
    </row>
    <row r="132" spans="1:13" x14ac:dyDescent="0.25">
      <c r="A132" s="9"/>
      <c r="B132" s="21"/>
      <c r="C132" s="22"/>
      <c r="D132" s="22"/>
      <c r="E132" s="22"/>
      <c r="F132" s="22"/>
      <c r="G132" s="22"/>
      <c r="H132" s="6"/>
      <c r="I132" s="6"/>
      <c r="J132" s="6"/>
      <c r="K132" s="6"/>
      <c r="L132" s="6"/>
      <c r="M132" s="6"/>
    </row>
    <row r="133" spans="1:13" x14ac:dyDescent="0.25">
      <c r="A133" s="9"/>
      <c r="B133" s="22"/>
      <c r="C133" s="22"/>
      <c r="D133" s="22"/>
      <c r="E133" s="22"/>
      <c r="F133" s="22"/>
      <c r="G133" s="21"/>
      <c r="H133" s="6"/>
      <c r="I133" s="6"/>
      <c r="J133" s="6"/>
      <c r="K133" s="6"/>
      <c r="L133" s="6"/>
      <c r="M133" s="6"/>
    </row>
    <row r="134" spans="1:13" x14ac:dyDescent="0.25">
      <c r="A134" s="9"/>
      <c r="B134" s="21"/>
      <c r="C134" s="21"/>
      <c r="D134" s="21"/>
      <c r="E134" s="21"/>
      <c r="F134" s="21"/>
      <c r="G134" s="21"/>
      <c r="H134" s="6"/>
      <c r="I134" s="6"/>
      <c r="J134" s="6"/>
      <c r="K134" s="6"/>
      <c r="L134" s="6"/>
      <c r="M134" s="6"/>
    </row>
    <row r="135" spans="1:13" x14ac:dyDescent="0.25">
      <c r="A135" s="31" t="s">
        <v>105</v>
      </c>
      <c r="B135" s="32">
        <f>'Analisis de sensibilidad1'!B95*'Analisis de sensibilidad1'!B99*(1-'Analisis de sensibilidad1'!B101)+'Analisis de sensibilidad1'!B96*'Analisis de sensibilidad1'!B103</f>
        <v>0.13623499999999999</v>
      </c>
      <c r="C135" s="33"/>
      <c r="D135" s="33"/>
      <c r="E135" s="33"/>
      <c r="F135" s="33"/>
      <c r="G135" s="34"/>
      <c r="H135" s="6"/>
      <c r="I135" s="6"/>
      <c r="J135" s="6"/>
      <c r="K135" s="6"/>
      <c r="L135" s="6"/>
      <c r="M135" s="6"/>
    </row>
    <row r="136" spans="1:13" x14ac:dyDescent="0.25">
      <c r="A136" s="35" t="s">
        <v>106</v>
      </c>
      <c r="B136" s="36">
        <f>NPV(B135,C129:G129)+B129</f>
        <v>-35508684.209259167</v>
      </c>
      <c r="C136" s="11"/>
      <c r="D136" s="11"/>
      <c r="E136" s="11"/>
      <c r="F136" s="11"/>
      <c r="G136" s="37"/>
      <c r="H136" s="6"/>
      <c r="I136" s="6"/>
      <c r="J136" s="6"/>
      <c r="K136" s="6"/>
      <c r="L136" s="6"/>
      <c r="M136" s="6"/>
    </row>
    <row r="137" spans="1:13" x14ac:dyDescent="0.25">
      <c r="A137" s="35" t="s">
        <v>107</v>
      </c>
      <c r="B137" s="38">
        <f>IRR(B129:G129)</f>
        <v>4.6383065468629914E-2</v>
      </c>
      <c r="C137" s="11"/>
      <c r="D137" s="11"/>
      <c r="E137" s="11"/>
      <c r="F137" s="11"/>
      <c r="G137" s="37"/>
      <c r="H137" s="6"/>
      <c r="I137" s="6"/>
      <c r="J137" s="6"/>
      <c r="K137" s="6"/>
      <c r="L137" s="6"/>
      <c r="M137" s="6"/>
    </row>
    <row r="138" spans="1:13" x14ac:dyDescent="0.25">
      <c r="A138" s="35"/>
      <c r="B138" s="39" t="s">
        <v>124</v>
      </c>
      <c r="C138" s="11">
        <v>1</v>
      </c>
      <c r="D138" s="11">
        <v>2</v>
      </c>
      <c r="E138" s="11">
        <v>3</v>
      </c>
      <c r="F138" s="11">
        <v>4</v>
      </c>
      <c r="G138" s="37">
        <v>5</v>
      </c>
      <c r="H138" s="6"/>
      <c r="I138" s="6"/>
      <c r="J138" s="6"/>
      <c r="K138" s="6"/>
      <c r="L138" s="6"/>
      <c r="M138" s="6"/>
    </row>
    <row r="139" spans="1:13" x14ac:dyDescent="0.25">
      <c r="A139" s="35" t="s">
        <v>108</v>
      </c>
      <c r="B139" s="40">
        <f>-B129</f>
        <v>141862825</v>
      </c>
      <c r="C139" s="40">
        <f>B139*(1+$B$135)-C129</f>
        <v>147675984.46387503</v>
      </c>
      <c r="D139" s="40">
        <f>C139*(1+$B$135)-D129</f>
        <v>144386126.95731106</v>
      </c>
      <c r="E139" s="40">
        <f>D139*(1+$B$135)-E129</f>
        <v>132125048.59584035</v>
      </c>
      <c r="F139" s="40">
        <f>E139*(1+$B$135)-F129</f>
        <v>112815838.26304467</v>
      </c>
      <c r="G139" s="41">
        <f>F139*(1+$B$135)-G129</f>
        <v>67247383.972607449</v>
      </c>
      <c r="H139" s="6"/>
      <c r="I139" s="6"/>
      <c r="J139" s="6"/>
      <c r="K139" s="6"/>
      <c r="L139" s="6"/>
      <c r="M139" s="6"/>
    </row>
    <row r="140" spans="1:13" x14ac:dyDescent="0.25">
      <c r="A140" s="35" t="s">
        <v>109</v>
      </c>
      <c r="B140" s="38">
        <f>MIRR(B129:G129,B135,B135)</f>
        <v>7.2618597864051226E-2</v>
      </c>
      <c r="C140" s="11"/>
      <c r="D140" s="11"/>
      <c r="E140" s="11"/>
      <c r="F140" s="11"/>
      <c r="G140" s="37"/>
      <c r="H140" s="6"/>
      <c r="I140" s="6"/>
      <c r="J140" s="6"/>
      <c r="K140" s="6"/>
      <c r="L140" s="6"/>
      <c r="M140" s="6"/>
    </row>
    <row r="141" spans="1:13" x14ac:dyDescent="0.25">
      <c r="A141" s="35"/>
      <c r="B141" s="38" t="s">
        <v>124</v>
      </c>
      <c r="C141" s="11">
        <v>1</v>
      </c>
      <c r="D141" s="11">
        <v>2</v>
      </c>
      <c r="E141" s="11">
        <v>3</v>
      </c>
      <c r="F141" s="11">
        <v>4</v>
      </c>
      <c r="G141" s="37">
        <v>5</v>
      </c>
      <c r="H141" s="6"/>
      <c r="I141" s="6"/>
      <c r="J141" s="6"/>
      <c r="K141" s="6"/>
      <c r="L141" s="6"/>
      <c r="M141" s="6"/>
    </row>
    <row r="142" spans="1:13" x14ac:dyDescent="0.25">
      <c r="A142" s="35" t="s">
        <v>110</v>
      </c>
      <c r="B142" s="40">
        <f>-B129</f>
        <v>141862825</v>
      </c>
      <c r="C142" s="40">
        <f>B142-C129</f>
        <v>128349302.5</v>
      </c>
      <c r="D142" s="40">
        <f>C142-D129</f>
        <v>104940807.25</v>
      </c>
      <c r="E142" s="40">
        <f>D142-E129</f>
        <v>73009284.882500008</v>
      </c>
      <c r="F142" s="40">
        <f>E142-F129</f>
        <v>35700018.554250002</v>
      </c>
      <c r="G142" s="41">
        <f>F142-G129</f>
        <v>-25237901.461953118</v>
      </c>
      <c r="H142" s="6"/>
      <c r="I142" s="6"/>
      <c r="J142" s="6"/>
      <c r="K142" s="6"/>
      <c r="L142" s="6"/>
      <c r="M142" s="6"/>
    </row>
    <row r="143" spans="1:13" x14ac:dyDescent="0.25">
      <c r="A143" s="35" t="s">
        <v>111</v>
      </c>
      <c r="B143" s="42">
        <f>3+(B142-SUM(C129:E129))/F129</f>
        <v>4.9568673433607158</v>
      </c>
      <c r="C143" s="11"/>
      <c r="D143" s="11"/>
      <c r="E143" s="11"/>
      <c r="F143" s="11"/>
      <c r="G143" s="37"/>
      <c r="H143" s="6"/>
      <c r="I143" s="6"/>
      <c r="J143" s="6"/>
      <c r="K143" s="6"/>
      <c r="L143" s="6"/>
      <c r="M143" s="6"/>
    </row>
    <row r="144" spans="1:13" x14ac:dyDescent="0.25">
      <c r="A144" s="35" t="s">
        <v>112</v>
      </c>
      <c r="B144" s="42">
        <f>B143*12</f>
        <v>59.482408120328586</v>
      </c>
      <c r="C144" s="11"/>
      <c r="D144" s="11"/>
      <c r="E144" s="11"/>
      <c r="F144" s="11"/>
      <c r="G144" s="37"/>
      <c r="H144" s="6"/>
      <c r="I144" s="6"/>
      <c r="J144" s="6"/>
      <c r="K144" s="6"/>
      <c r="L144" s="6"/>
      <c r="M144" s="6"/>
    </row>
    <row r="145" spans="1:13" x14ac:dyDescent="0.25">
      <c r="A145" s="35" t="s">
        <v>113</v>
      </c>
      <c r="B145" s="42">
        <f>4+((B139-SUM(C130:F130))/G130)</f>
        <v>6.103539207684257</v>
      </c>
      <c r="C145" s="11"/>
      <c r="D145" s="11"/>
      <c r="E145" s="11"/>
      <c r="F145" s="11"/>
      <c r="G145" s="37"/>
      <c r="H145" s="6"/>
      <c r="I145" s="6"/>
      <c r="J145" s="6"/>
      <c r="K145" s="6"/>
      <c r="L145" s="6"/>
      <c r="M145" s="6"/>
    </row>
    <row r="146" spans="1:13" x14ac:dyDescent="0.25">
      <c r="A146" s="43" t="s">
        <v>114</v>
      </c>
      <c r="B146" s="44">
        <f>B145*12</f>
        <v>73.242470492211083</v>
      </c>
      <c r="C146" s="12"/>
      <c r="D146" s="12"/>
      <c r="E146" s="12"/>
      <c r="F146" s="12"/>
      <c r="G146" s="45"/>
      <c r="H146" s="6"/>
      <c r="I146" s="6"/>
      <c r="J146" s="6"/>
      <c r="K146" s="6"/>
      <c r="L146" s="6"/>
      <c r="M146" s="6"/>
    </row>
    <row r="147" spans="1:13" ht="18.75" x14ac:dyDescent="0.3">
      <c r="A147" s="3"/>
      <c r="B147" s="4"/>
      <c r="C147" s="3"/>
      <c r="D147" s="3"/>
      <c r="E147" s="3"/>
      <c r="F147" s="3"/>
      <c r="G147" s="3"/>
    </row>
    <row r="148" spans="1:13" ht="18.75" x14ac:dyDescent="0.3">
      <c r="A148" s="3"/>
      <c r="B148" s="4"/>
      <c r="C148" s="3"/>
      <c r="D148" s="3"/>
      <c r="E148" s="3"/>
      <c r="F148" s="3"/>
      <c r="G148" s="3"/>
    </row>
  </sheetData>
  <pageMargins left="0.75" right="0.75" top="1" bottom="1" header="0.5" footer="0.5"/>
  <pageSetup orientation="portrait" horizontalDpi="4294967292" verticalDpi="4294967292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148"/>
  <sheetViews>
    <sheetView zoomScale="50" zoomScaleNormal="50" workbookViewId="0"/>
  </sheetViews>
  <sheetFormatPr baseColWidth="10" defaultColWidth="10.875" defaultRowHeight="15.75" x14ac:dyDescent="0.25"/>
  <cols>
    <col min="1" max="1" width="45" style="2" customWidth="1"/>
    <col min="2" max="2" width="24.125" style="1" bestFit="1" customWidth="1"/>
    <col min="3" max="13" width="18.875" style="2" customWidth="1"/>
    <col min="14" max="15" width="10.875" style="2"/>
    <col min="16" max="16" width="14.625" style="2" bestFit="1" customWidth="1"/>
    <col min="17" max="18" width="13.625" style="2" bestFit="1" customWidth="1"/>
    <col min="19" max="20" width="14.625" style="2" bestFit="1" customWidth="1"/>
    <col min="21" max="16384" width="10.875" style="2"/>
  </cols>
  <sheetData>
    <row r="1" spans="1:13" x14ac:dyDescent="0.25">
      <c r="A1" s="17" t="s">
        <v>122</v>
      </c>
      <c r="B1" s="13" t="s">
        <v>62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 x14ac:dyDescent="0.25">
      <c r="A2" s="6" t="s">
        <v>234</v>
      </c>
      <c r="B2" s="13" t="s">
        <v>0</v>
      </c>
      <c r="C2" s="6">
        <v>5</v>
      </c>
      <c r="D2" s="6" t="s">
        <v>1</v>
      </c>
      <c r="E2" s="6" t="s">
        <v>60</v>
      </c>
      <c r="F2" s="6" t="s">
        <v>61</v>
      </c>
      <c r="G2" s="6"/>
      <c r="H2" s="6"/>
      <c r="I2" s="6"/>
      <c r="J2" s="6"/>
      <c r="K2" s="6"/>
      <c r="L2" s="6"/>
      <c r="M2" s="6"/>
    </row>
    <row r="3" spans="1:13" x14ac:dyDescent="0.25">
      <c r="A3" s="6"/>
      <c r="B3" s="13" t="s">
        <v>2</v>
      </c>
      <c r="C3" s="14">
        <f>33400</f>
        <v>33400</v>
      </c>
      <c r="D3" s="6" t="s">
        <v>3</v>
      </c>
      <c r="E3" s="6">
        <f>C3/12</f>
        <v>2783.3333333333335</v>
      </c>
      <c r="F3" s="6">
        <f>E3/30</f>
        <v>92.777777777777786</v>
      </c>
      <c r="G3" s="5">
        <f>E3*C6</f>
        <v>13916666.666666668</v>
      </c>
      <c r="H3" s="6"/>
      <c r="I3" s="6"/>
      <c r="J3" s="6"/>
      <c r="K3" s="6"/>
      <c r="L3" s="6"/>
      <c r="M3" s="6"/>
    </row>
    <row r="4" spans="1:13" x14ac:dyDescent="0.25">
      <c r="A4" s="6"/>
      <c r="B4" s="13" t="s">
        <v>4</v>
      </c>
      <c r="C4" s="14">
        <v>1800</v>
      </c>
      <c r="D4" s="6" t="s">
        <v>3</v>
      </c>
      <c r="E4" s="6">
        <f>C4/12</f>
        <v>150</v>
      </c>
      <c r="F4" s="6">
        <f>E4/12</f>
        <v>12.5</v>
      </c>
      <c r="G4" s="6"/>
      <c r="H4" s="6"/>
      <c r="I4" s="6"/>
      <c r="J4" s="6"/>
      <c r="K4" s="6"/>
      <c r="L4" s="6"/>
      <c r="M4" s="6"/>
    </row>
    <row r="5" spans="1:13" x14ac:dyDescent="0.25">
      <c r="A5" s="6"/>
      <c r="B5" s="13" t="s">
        <v>7</v>
      </c>
      <c r="C5" s="15">
        <v>0.05</v>
      </c>
      <c r="D5" s="15">
        <v>0.04</v>
      </c>
      <c r="E5" s="15">
        <f>AVERAGE(C5:D5)</f>
        <v>4.4999999999999998E-2</v>
      </c>
      <c r="F5" s="15">
        <f>AVERAGE(D5:E5)</f>
        <v>4.2499999999999996E-2</v>
      </c>
      <c r="G5" s="15">
        <f>AVERAGE(E5:F5)</f>
        <v>4.3749999999999997E-2</v>
      </c>
      <c r="H5" s="15">
        <f>AVERAGE(F5:G5)</f>
        <v>4.3124999999999997E-2</v>
      </c>
      <c r="I5" s="15">
        <f>AVERAGE(G5:H5)</f>
        <v>4.3437499999999997E-2</v>
      </c>
      <c r="J5" s="6"/>
      <c r="K5" s="6"/>
      <c r="L5" s="6"/>
      <c r="M5" s="6"/>
    </row>
    <row r="6" spans="1:13" x14ac:dyDescent="0.25">
      <c r="A6" s="6"/>
      <c r="B6" s="13" t="s">
        <v>5</v>
      </c>
      <c r="C6" s="5">
        <v>5000</v>
      </c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x14ac:dyDescent="0.25">
      <c r="A7" s="6"/>
      <c r="B7" s="13" t="s">
        <v>6</v>
      </c>
      <c r="C7" s="5">
        <v>8000</v>
      </c>
      <c r="D7" s="6"/>
      <c r="E7" s="6"/>
      <c r="F7" s="6"/>
      <c r="G7" s="6"/>
      <c r="H7" s="6"/>
      <c r="I7" s="6"/>
      <c r="J7" s="6"/>
      <c r="K7" s="6"/>
      <c r="L7" s="6"/>
      <c r="M7" s="6"/>
    </row>
    <row r="8" spans="1:13" x14ac:dyDescent="0.25">
      <c r="A8" s="6"/>
      <c r="B8" s="13" t="s">
        <v>8</v>
      </c>
      <c r="C8" s="15">
        <v>0.05</v>
      </c>
      <c r="D8" s="6"/>
      <c r="E8" s="6"/>
      <c r="F8" s="6"/>
      <c r="G8" s="6"/>
      <c r="H8" s="6"/>
      <c r="I8" s="6"/>
      <c r="J8" s="6"/>
      <c r="K8" s="6"/>
      <c r="L8" s="6"/>
      <c r="M8" s="6"/>
    </row>
    <row r="9" spans="1:13" x14ac:dyDescent="0.25">
      <c r="A9" s="6"/>
      <c r="B9" s="13" t="s">
        <v>9</v>
      </c>
      <c r="C9" s="6">
        <v>1</v>
      </c>
      <c r="D9" s="6" t="s">
        <v>10</v>
      </c>
      <c r="E9" s="6"/>
      <c r="F9" s="6"/>
      <c r="G9" s="6"/>
      <c r="H9" s="6"/>
      <c r="I9" s="6"/>
      <c r="J9" s="6"/>
      <c r="K9" s="6"/>
      <c r="L9" s="6"/>
      <c r="M9" s="6"/>
    </row>
    <row r="10" spans="1:13" x14ac:dyDescent="0.25">
      <c r="A10" s="6"/>
      <c r="B10" s="13"/>
      <c r="C10" s="6">
        <v>1</v>
      </c>
      <c r="D10" s="6" t="s">
        <v>11</v>
      </c>
      <c r="E10" s="6"/>
      <c r="F10" s="6"/>
      <c r="G10" s="6"/>
      <c r="H10" s="6"/>
      <c r="I10" s="6"/>
      <c r="J10" s="6"/>
      <c r="K10" s="6"/>
      <c r="L10" s="6"/>
      <c r="M10" s="6"/>
    </row>
    <row r="11" spans="1:13" x14ac:dyDescent="0.25">
      <c r="A11" s="6"/>
      <c r="B11" s="13" t="s">
        <v>12</v>
      </c>
      <c r="C11" s="6">
        <v>1</v>
      </c>
      <c r="D11" s="6" t="s">
        <v>10</v>
      </c>
      <c r="E11" s="6"/>
      <c r="F11" s="6"/>
      <c r="G11" s="6"/>
      <c r="H11" s="6"/>
      <c r="I11" s="6"/>
      <c r="J11" s="6"/>
      <c r="K11" s="6"/>
      <c r="L11" s="6"/>
      <c r="M11" s="6"/>
    </row>
    <row r="12" spans="1:13" x14ac:dyDescent="0.25">
      <c r="A12" s="6"/>
      <c r="B12" s="13"/>
      <c r="C12" s="6">
        <v>2</v>
      </c>
      <c r="D12" s="6" t="s">
        <v>11</v>
      </c>
      <c r="E12" s="6"/>
      <c r="F12" s="6"/>
      <c r="G12" s="6"/>
      <c r="H12" s="6"/>
      <c r="I12" s="6"/>
      <c r="J12" s="6"/>
      <c r="K12" s="6"/>
      <c r="L12" s="6"/>
      <c r="M12" s="6"/>
    </row>
    <row r="13" spans="1:13" x14ac:dyDescent="0.25">
      <c r="A13" s="6"/>
      <c r="B13" s="13" t="s">
        <v>13</v>
      </c>
      <c r="C13" s="5">
        <v>500</v>
      </c>
      <c r="D13" s="6"/>
      <c r="E13" s="6"/>
      <c r="F13" s="6"/>
      <c r="G13" s="6"/>
      <c r="H13" s="6"/>
      <c r="I13" s="6"/>
      <c r="J13" s="6"/>
      <c r="K13" s="6"/>
      <c r="L13" s="6"/>
      <c r="M13" s="6"/>
    </row>
    <row r="14" spans="1:13" x14ac:dyDescent="0.25">
      <c r="A14" s="6"/>
      <c r="B14" s="13" t="s">
        <v>14</v>
      </c>
      <c r="C14" s="5">
        <v>800</v>
      </c>
      <c r="D14" s="6"/>
      <c r="E14" s="6"/>
      <c r="F14" s="6"/>
      <c r="G14" s="6"/>
      <c r="H14" s="6"/>
      <c r="I14" s="6"/>
      <c r="J14" s="6"/>
      <c r="K14" s="6"/>
      <c r="L14" s="6"/>
      <c r="M14" s="6"/>
    </row>
    <row r="15" spans="1:13" x14ac:dyDescent="0.25">
      <c r="A15" s="6"/>
      <c r="B15" s="13" t="s">
        <v>15</v>
      </c>
      <c r="C15" s="15">
        <v>0.1</v>
      </c>
      <c r="D15" s="6" t="s">
        <v>16</v>
      </c>
      <c r="E15" s="6"/>
      <c r="F15" s="6"/>
      <c r="G15" s="6"/>
      <c r="H15" s="6"/>
      <c r="I15" s="6"/>
      <c r="J15" s="6"/>
      <c r="K15" s="6"/>
      <c r="L15" s="6"/>
      <c r="M15" s="6"/>
    </row>
    <row r="16" spans="1:13" x14ac:dyDescent="0.25">
      <c r="A16" s="6"/>
      <c r="B16" s="13" t="s">
        <v>17</v>
      </c>
      <c r="C16" s="15">
        <v>0.15</v>
      </c>
      <c r="D16" s="6" t="s">
        <v>16</v>
      </c>
      <c r="E16" s="6"/>
      <c r="F16" s="6"/>
      <c r="G16" s="6"/>
      <c r="H16" s="6"/>
      <c r="I16" s="6"/>
      <c r="J16" s="6"/>
      <c r="K16" s="6"/>
      <c r="L16" s="6"/>
      <c r="M16" s="6"/>
    </row>
    <row r="17" spans="1:13" x14ac:dyDescent="0.25">
      <c r="A17" s="6"/>
      <c r="B17" s="13" t="s">
        <v>18</v>
      </c>
      <c r="C17" s="6">
        <v>5</v>
      </c>
      <c r="D17" s="6" t="s">
        <v>19</v>
      </c>
      <c r="E17" s="6"/>
      <c r="F17" s="6"/>
      <c r="G17" s="6"/>
      <c r="H17" s="6"/>
      <c r="I17" s="6"/>
      <c r="J17" s="6"/>
      <c r="K17" s="6"/>
      <c r="L17" s="6"/>
      <c r="M17" s="6"/>
    </row>
    <row r="18" spans="1:13" x14ac:dyDescent="0.25">
      <c r="A18" s="6"/>
      <c r="B18" s="13" t="s">
        <v>20</v>
      </c>
      <c r="C18" s="6">
        <v>3</v>
      </c>
      <c r="D18" s="6" t="s">
        <v>19</v>
      </c>
      <c r="E18" s="6"/>
      <c r="F18" s="6"/>
      <c r="G18" s="6"/>
      <c r="H18" s="6"/>
      <c r="I18" s="6"/>
      <c r="J18" s="6"/>
      <c r="K18" s="6"/>
      <c r="L18" s="6"/>
      <c r="M18" s="6"/>
    </row>
    <row r="19" spans="1:13" x14ac:dyDescent="0.25">
      <c r="A19" s="6"/>
      <c r="B19" s="13" t="s">
        <v>21</v>
      </c>
      <c r="C19" s="6">
        <v>30</v>
      </c>
      <c r="D19" s="6" t="s">
        <v>19</v>
      </c>
      <c r="E19" s="6"/>
      <c r="F19" s="6"/>
      <c r="G19" s="6"/>
      <c r="H19" s="6"/>
      <c r="I19" s="6"/>
      <c r="J19" s="6"/>
      <c r="K19" s="6"/>
      <c r="L19" s="6"/>
      <c r="M19" s="6"/>
    </row>
    <row r="20" spans="1:13" x14ac:dyDescent="0.25">
      <c r="A20" s="6"/>
      <c r="B20" s="13" t="s">
        <v>22</v>
      </c>
      <c r="C20" s="6">
        <v>30</v>
      </c>
      <c r="D20" s="6" t="s">
        <v>19</v>
      </c>
      <c r="E20" s="6"/>
      <c r="F20" s="6"/>
      <c r="G20" s="6"/>
      <c r="H20" s="6"/>
      <c r="I20" s="6"/>
      <c r="J20" s="6"/>
      <c r="K20" s="6"/>
      <c r="L20" s="6"/>
      <c r="M20" s="6"/>
    </row>
    <row r="21" spans="1:13" x14ac:dyDescent="0.25">
      <c r="A21" s="6"/>
      <c r="B21" s="13" t="s">
        <v>43</v>
      </c>
      <c r="C21" s="15">
        <v>0.05</v>
      </c>
      <c r="D21" s="6"/>
      <c r="E21" s="5"/>
      <c r="F21" s="6"/>
      <c r="G21" s="6"/>
      <c r="H21" s="6"/>
      <c r="I21" s="6"/>
      <c r="J21" s="6"/>
      <c r="K21" s="6"/>
      <c r="L21" s="6"/>
      <c r="M21" s="6"/>
    </row>
    <row r="22" spans="1:13" x14ac:dyDescent="0.25">
      <c r="A22" s="6"/>
      <c r="B22" s="13"/>
      <c r="C22" s="6"/>
      <c r="D22" s="6" t="s">
        <v>123</v>
      </c>
      <c r="E22" s="6"/>
      <c r="F22" s="6"/>
      <c r="G22" s="6"/>
      <c r="H22" s="6"/>
      <c r="I22" s="6"/>
      <c r="J22" s="6"/>
      <c r="K22" s="6"/>
      <c r="L22" s="6"/>
      <c r="M22" s="6"/>
    </row>
    <row r="23" spans="1:13" x14ac:dyDescent="0.25">
      <c r="A23" s="6"/>
      <c r="B23" s="16" t="s">
        <v>23</v>
      </c>
      <c r="C23" s="17">
        <v>0</v>
      </c>
      <c r="D23" s="17">
        <v>1</v>
      </c>
      <c r="E23" s="17">
        <v>2</v>
      </c>
      <c r="F23" s="17">
        <v>3</v>
      </c>
      <c r="G23" s="17">
        <v>4</v>
      </c>
      <c r="H23" s="17">
        <v>5</v>
      </c>
    </row>
    <row r="24" spans="1:13" x14ac:dyDescent="0.25">
      <c r="A24" s="6"/>
      <c r="B24" s="13" t="s">
        <v>24</v>
      </c>
      <c r="C24" s="6"/>
      <c r="D24" s="14">
        <f>C3</f>
        <v>33400</v>
      </c>
      <c r="E24" s="14">
        <f t="shared" ref="E24:H25" si="0">ROUND(D24*(1+$E$5),0)</f>
        <v>34903</v>
      </c>
      <c r="F24" s="14">
        <f t="shared" si="0"/>
        <v>36474</v>
      </c>
      <c r="G24" s="14">
        <f t="shared" si="0"/>
        <v>38115</v>
      </c>
      <c r="H24" s="14">
        <f t="shared" si="0"/>
        <v>39830</v>
      </c>
    </row>
    <row r="25" spans="1:13" x14ac:dyDescent="0.25">
      <c r="A25" s="6"/>
      <c r="B25" s="13" t="s">
        <v>25</v>
      </c>
      <c r="C25" s="6"/>
      <c r="D25" s="14">
        <f>C4</f>
        <v>1800</v>
      </c>
      <c r="E25" s="14">
        <f t="shared" si="0"/>
        <v>1881</v>
      </c>
      <c r="F25" s="14">
        <f t="shared" si="0"/>
        <v>1966</v>
      </c>
      <c r="G25" s="14">
        <f t="shared" si="0"/>
        <v>2054</v>
      </c>
      <c r="H25" s="14">
        <f t="shared" si="0"/>
        <v>2146</v>
      </c>
    </row>
    <row r="26" spans="1:13" x14ac:dyDescent="0.25">
      <c r="A26" s="6"/>
      <c r="B26" s="13" t="s">
        <v>5</v>
      </c>
      <c r="C26" s="6"/>
      <c r="D26" s="5">
        <f>C6</f>
        <v>5000</v>
      </c>
      <c r="E26" s="5">
        <f t="shared" ref="E26:H27" si="1">D26*(1+$C$8)</f>
        <v>5250</v>
      </c>
      <c r="F26" s="5">
        <f t="shared" si="1"/>
        <v>5512.5</v>
      </c>
      <c r="G26" s="5">
        <f t="shared" si="1"/>
        <v>5788.125</v>
      </c>
      <c r="H26" s="5">
        <f t="shared" si="1"/>
        <v>6077.53125</v>
      </c>
    </row>
    <row r="27" spans="1:13" x14ac:dyDescent="0.25">
      <c r="A27" s="6"/>
      <c r="B27" s="13" t="s">
        <v>6</v>
      </c>
      <c r="C27" s="6"/>
      <c r="D27" s="5">
        <f>C7</f>
        <v>8000</v>
      </c>
      <c r="E27" s="5">
        <f t="shared" si="1"/>
        <v>8400</v>
      </c>
      <c r="F27" s="5">
        <f t="shared" si="1"/>
        <v>8820</v>
      </c>
      <c r="G27" s="5">
        <f t="shared" si="1"/>
        <v>9261</v>
      </c>
      <c r="H27" s="5">
        <f t="shared" si="1"/>
        <v>9724.0500000000011</v>
      </c>
    </row>
    <row r="28" spans="1:13" x14ac:dyDescent="0.25">
      <c r="A28" s="6"/>
      <c r="B28" s="13" t="s">
        <v>26</v>
      </c>
      <c r="C28" s="6"/>
      <c r="D28" s="5">
        <f>SUMPRODUCT(D24:D25,D26:D27)</f>
        <v>181400000</v>
      </c>
      <c r="E28" s="5">
        <f>SUMPRODUCT(E24:E25,E26:E27)</f>
        <v>199041150</v>
      </c>
      <c r="F28" s="5">
        <f>SUMPRODUCT(F24:F25,F26:F27)</f>
        <v>218403045</v>
      </c>
      <c r="G28" s="5">
        <f>SUMPRODUCT(G24:G25,G26:G27)</f>
        <v>239636478.375</v>
      </c>
      <c r="H28" s="5">
        <f>SUMPRODUCT(H24:H25,H26:H27)</f>
        <v>262935880.98750001</v>
      </c>
    </row>
    <row r="29" spans="1:13" x14ac:dyDescent="0.25">
      <c r="A29" s="6"/>
      <c r="B29" s="13" t="s">
        <v>27</v>
      </c>
      <c r="C29" s="6"/>
      <c r="D29" s="5">
        <f>(D28/360)*$C$19</f>
        <v>15116666.666666666</v>
      </c>
      <c r="E29" s="5">
        <f>(E28/360)*$C$19</f>
        <v>16586762.500000002</v>
      </c>
      <c r="F29" s="5">
        <f>(F28/360)*$C$19</f>
        <v>18200253.75</v>
      </c>
      <c r="G29" s="5">
        <f>(G28/360)*$C$19</f>
        <v>19969706.53125</v>
      </c>
      <c r="H29" s="5">
        <f>(H28/360)*$C$19</f>
        <v>21911323.415625002</v>
      </c>
    </row>
    <row r="30" spans="1:13" x14ac:dyDescent="0.25">
      <c r="A30" s="6"/>
      <c r="B30" s="13"/>
      <c r="C30" s="6"/>
      <c r="D30" s="6"/>
      <c r="E30" s="6"/>
      <c r="F30" s="6"/>
      <c r="G30" s="6"/>
      <c r="H30" s="6"/>
    </row>
    <row r="31" spans="1:13" x14ac:dyDescent="0.25">
      <c r="A31" s="6"/>
      <c r="B31" s="13" t="s">
        <v>30</v>
      </c>
      <c r="C31" s="6"/>
      <c r="D31" s="6">
        <f>ROUND((D32/360)*$C$18,0)</f>
        <v>278</v>
      </c>
      <c r="E31" s="6">
        <f>ROUND((E32/360)*$C$18,0)</f>
        <v>291</v>
      </c>
      <c r="F31" s="6">
        <f>ROUND((F32/360)*$C$18,0)</f>
        <v>304</v>
      </c>
      <c r="G31" s="6">
        <f>ROUND((G32/360)*$C$18,0)</f>
        <v>318</v>
      </c>
      <c r="H31" s="6">
        <f>ROUND((H32/360)*$C$18,0)</f>
        <v>332</v>
      </c>
    </row>
    <row r="32" spans="1:13" x14ac:dyDescent="0.25">
      <c r="A32" s="6"/>
      <c r="B32" s="18" t="s">
        <v>28</v>
      </c>
      <c r="C32" s="6"/>
      <c r="D32" s="14">
        <f>D24</f>
        <v>33400</v>
      </c>
      <c r="E32" s="14">
        <f>E24</f>
        <v>34903</v>
      </c>
      <c r="F32" s="14">
        <f>F24</f>
        <v>36474</v>
      </c>
      <c r="G32" s="14">
        <f>G24</f>
        <v>38115</v>
      </c>
      <c r="H32" s="14">
        <f>H24</f>
        <v>39830</v>
      </c>
    </row>
    <row r="33" spans="1:8" x14ac:dyDescent="0.25">
      <c r="A33" s="6"/>
      <c r="B33" s="18" t="s">
        <v>29</v>
      </c>
      <c r="C33" s="6"/>
      <c r="D33" s="6">
        <v>0</v>
      </c>
      <c r="E33" s="6">
        <f>D31</f>
        <v>278</v>
      </c>
      <c r="F33" s="6">
        <f>E31</f>
        <v>291</v>
      </c>
      <c r="G33" s="6">
        <f>F31</f>
        <v>304</v>
      </c>
      <c r="H33" s="6">
        <f>G31</f>
        <v>318</v>
      </c>
    </row>
    <row r="34" spans="1:8" x14ac:dyDescent="0.25">
      <c r="A34" s="6"/>
      <c r="B34" s="18" t="s">
        <v>31</v>
      </c>
      <c r="C34" s="6"/>
      <c r="D34" s="14">
        <f>D31+D32-D33</f>
        <v>33678</v>
      </c>
      <c r="E34" s="14">
        <f>E31+E32-E33</f>
        <v>34916</v>
      </c>
      <c r="F34" s="14">
        <f>F31+F32-F33</f>
        <v>36487</v>
      </c>
      <c r="G34" s="14">
        <f>G31+G32-G33</f>
        <v>38129</v>
      </c>
      <c r="H34" s="14">
        <f>H31+H32-H33</f>
        <v>39844</v>
      </c>
    </row>
    <row r="35" spans="1:8" x14ac:dyDescent="0.25">
      <c r="A35" s="6"/>
      <c r="B35" s="13"/>
      <c r="C35" s="6"/>
      <c r="D35" s="6"/>
      <c r="E35" s="6"/>
      <c r="F35" s="6"/>
      <c r="G35" s="6"/>
      <c r="H35" s="6"/>
    </row>
    <row r="36" spans="1:8" x14ac:dyDescent="0.25">
      <c r="A36" s="6"/>
      <c r="B36" s="13" t="s">
        <v>32</v>
      </c>
      <c r="C36" s="6"/>
      <c r="D36" s="6">
        <f>ROUND((D37/360)*$C$18,0)</f>
        <v>15</v>
      </c>
      <c r="E36" s="6">
        <f>ROUND((E37/360)*$C$18,0)</f>
        <v>16</v>
      </c>
      <c r="F36" s="6">
        <f>ROUND((F37/360)*$C$18,0)</f>
        <v>16</v>
      </c>
      <c r="G36" s="6">
        <f>ROUND((G37/360)*$C$18,0)</f>
        <v>17</v>
      </c>
      <c r="H36" s="6">
        <f>ROUND((H37/360)*$C$18,0)</f>
        <v>18</v>
      </c>
    </row>
    <row r="37" spans="1:8" x14ac:dyDescent="0.25">
      <c r="A37" s="6"/>
      <c r="B37" s="18" t="s">
        <v>28</v>
      </c>
      <c r="C37" s="6"/>
      <c r="D37" s="14">
        <f>D25</f>
        <v>1800</v>
      </c>
      <c r="E37" s="14">
        <f>E25</f>
        <v>1881</v>
      </c>
      <c r="F37" s="14">
        <f>F25</f>
        <v>1966</v>
      </c>
      <c r="G37" s="14">
        <f>G25</f>
        <v>2054</v>
      </c>
      <c r="H37" s="14">
        <f>H25</f>
        <v>2146</v>
      </c>
    </row>
    <row r="38" spans="1:8" x14ac:dyDescent="0.25">
      <c r="A38" s="6"/>
      <c r="B38" s="18" t="s">
        <v>33</v>
      </c>
      <c r="C38" s="6"/>
      <c r="D38" s="6">
        <v>0</v>
      </c>
      <c r="E38" s="6">
        <f>D36</f>
        <v>15</v>
      </c>
      <c r="F38" s="6">
        <f>E36</f>
        <v>16</v>
      </c>
      <c r="G38" s="6">
        <f>F36</f>
        <v>16</v>
      </c>
      <c r="H38" s="6">
        <f>G36</f>
        <v>17</v>
      </c>
    </row>
    <row r="39" spans="1:8" x14ac:dyDescent="0.25">
      <c r="A39" s="6"/>
      <c r="B39" s="18" t="s">
        <v>34</v>
      </c>
      <c r="C39" s="6"/>
      <c r="D39" s="14">
        <f>D36+D37-D38</f>
        <v>1815</v>
      </c>
      <c r="E39" s="14">
        <f>E36+E37-E38</f>
        <v>1882</v>
      </c>
      <c r="F39" s="14">
        <f>F36+F37-F38</f>
        <v>1966</v>
      </c>
      <c r="G39" s="14">
        <f>G36+G37-G38</f>
        <v>2055</v>
      </c>
      <c r="H39" s="14">
        <f>H36+H37-H38</f>
        <v>2147</v>
      </c>
    </row>
    <row r="40" spans="1:8" x14ac:dyDescent="0.25">
      <c r="A40" s="6"/>
      <c r="B40" s="13"/>
      <c r="C40" s="6"/>
      <c r="D40" s="6"/>
      <c r="E40" s="6"/>
      <c r="F40" s="6"/>
      <c r="G40" s="6"/>
      <c r="H40" s="6"/>
    </row>
    <row r="41" spans="1:8" x14ac:dyDescent="0.25">
      <c r="A41" s="6"/>
      <c r="B41" s="13" t="s">
        <v>35</v>
      </c>
      <c r="C41" s="6"/>
      <c r="D41" s="14">
        <f>ROUND((D42/360)*$C$17,0)</f>
        <v>493</v>
      </c>
      <c r="E41" s="14">
        <f>ROUND((E42/360)*$C$17,0)</f>
        <v>511</v>
      </c>
      <c r="F41" s="14">
        <f>ROUND((F42/360)*$C$17,0)</f>
        <v>534</v>
      </c>
      <c r="G41" s="14">
        <f>ROUND((G42/360)*$C$17,0)</f>
        <v>558</v>
      </c>
      <c r="H41" s="14">
        <f>ROUND((H42/360)*$C$17,0)</f>
        <v>583</v>
      </c>
    </row>
    <row r="42" spans="1:8" x14ac:dyDescent="0.25">
      <c r="A42" s="6"/>
      <c r="B42" s="18" t="s">
        <v>36</v>
      </c>
      <c r="C42" s="6"/>
      <c r="D42" s="14">
        <f>(D34*$C$9+D39*$C$11)</f>
        <v>35493</v>
      </c>
      <c r="E42" s="14">
        <f>(E34*$C$9+E39*$C$11)</f>
        <v>36798</v>
      </c>
      <c r="F42" s="14">
        <f>(F34*$C$9+F39*$C$11)</f>
        <v>38453</v>
      </c>
      <c r="G42" s="14">
        <f>(G34*$C$9+G39*$C$11)</f>
        <v>40184</v>
      </c>
      <c r="H42" s="14">
        <f>(H34*$C$9+H39*$C$11)</f>
        <v>41991</v>
      </c>
    </row>
    <row r="43" spans="1:8" x14ac:dyDescent="0.25">
      <c r="A43" s="6"/>
      <c r="B43" s="18" t="s">
        <v>37</v>
      </c>
      <c r="C43" s="6"/>
      <c r="D43" s="6">
        <v>0</v>
      </c>
      <c r="E43" s="14">
        <f>D41</f>
        <v>493</v>
      </c>
      <c r="F43" s="14">
        <f>E41</f>
        <v>511</v>
      </c>
      <c r="G43" s="14">
        <f>F41</f>
        <v>534</v>
      </c>
      <c r="H43" s="14">
        <f>G41</f>
        <v>558</v>
      </c>
    </row>
    <row r="44" spans="1:8" x14ac:dyDescent="0.25">
      <c r="A44" s="6"/>
      <c r="B44" s="18" t="s">
        <v>38</v>
      </c>
      <c r="C44" s="6"/>
      <c r="D44" s="14">
        <f>D41+D42-D43</f>
        <v>35986</v>
      </c>
      <c r="E44" s="14">
        <f>E41+E42-E43</f>
        <v>36816</v>
      </c>
      <c r="F44" s="14">
        <f>F41+F42-F43</f>
        <v>38476</v>
      </c>
      <c r="G44" s="14">
        <f>G41+G42-G43</f>
        <v>40208</v>
      </c>
      <c r="H44" s="14">
        <f>H41+H42-H43</f>
        <v>42016</v>
      </c>
    </row>
    <row r="45" spans="1:8" x14ac:dyDescent="0.25">
      <c r="A45" s="6"/>
      <c r="B45" s="13"/>
      <c r="C45" s="6"/>
      <c r="D45" s="6"/>
      <c r="E45" s="6"/>
      <c r="F45" s="6"/>
      <c r="G45" s="6"/>
      <c r="H45" s="6"/>
    </row>
    <row r="46" spans="1:8" x14ac:dyDescent="0.25">
      <c r="A46" s="6"/>
      <c r="B46" s="13" t="s">
        <v>39</v>
      </c>
      <c r="C46" s="6"/>
      <c r="D46" s="14">
        <f>ROUND((D47/360)*$C$17,0)</f>
        <v>518</v>
      </c>
      <c r="E46" s="14">
        <f>ROUND((E47/360)*$C$17,0)</f>
        <v>537</v>
      </c>
      <c r="F46" s="14">
        <f>ROUND((F47/360)*$C$17,0)</f>
        <v>561</v>
      </c>
      <c r="G46" s="14">
        <f>ROUND((G47/360)*$C$17,0)</f>
        <v>587</v>
      </c>
      <c r="H46" s="14">
        <f>ROUND((H47/360)*$C$17,0)</f>
        <v>613</v>
      </c>
    </row>
    <row r="47" spans="1:8" x14ac:dyDescent="0.25">
      <c r="A47" s="6"/>
      <c r="B47" s="18" t="s">
        <v>40</v>
      </c>
      <c r="C47" s="6"/>
      <c r="D47" s="14">
        <f>(D34*$C$10+D39*$C$12)</f>
        <v>37308</v>
      </c>
      <c r="E47" s="14">
        <f>(E34*$C$10+E39*$C$12)</f>
        <v>38680</v>
      </c>
      <c r="F47" s="14">
        <f>(F34*$C$10+F39*$C$12)</f>
        <v>40419</v>
      </c>
      <c r="G47" s="14">
        <f>(G34*$C$10+G39*$C$12)</f>
        <v>42239</v>
      </c>
      <c r="H47" s="14">
        <f>(H34*$C$10+H39*$C$12)</f>
        <v>44138</v>
      </c>
    </row>
    <row r="48" spans="1:8" x14ac:dyDescent="0.25">
      <c r="A48" s="6"/>
      <c r="B48" s="18" t="s">
        <v>41</v>
      </c>
      <c r="C48" s="6"/>
      <c r="D48" s="6">
        <v>0</v>
      </c>
      <c r="E48" s="14">
        <f>D46</f>
        <v>518</v>
      </c>
      <c r="F48" s="14">
        <f>E46</f>
        <v>537</v>
      </c>
      <c r="G48" s="14">
        <f>F46</f>
        <v>561</v>
      </c>
      <c r="H48" s="14">
        <f>G46</f>
        <v>587</v>
      </c>
    </row>
    <row r="49" spans="1:8" x14ac:dyDescent="0.25">
      <c r="A49" s="6"/>
      <c r="B49" s="18" t="s">
        <v>42</v>
      </c>
      <c r="C49" s="6"/>
      <c r="D49" s="14">
        <f>D46+D47-D48</f>
        <v>37826</v>
      </c>
      <c r="E49" s="14">
        <f>E46+E47-E48</f>
        <v>38699</v>
      </c>
      <c r="F49" s="14">
        <f>F46+F47-F48</f>
        <v>40443</v>
      </c>
      <c r="G49" s="14">
        <f>G46+G47-G48</f>
        <v>42265</v>
      </c>
      <c r="H49" s="14">
        <f>H46+H47-H48</f>
        <v>44164</v>
      </c>
    </row>
    <row r="50" spans="1:8" x14ac:dyDescent="0.25">
      <c r="A50" s="6"/>
      <c r="B50" s="13"/>
      <c r="C50" s="6"/>
      <c r="D50" s="6"/>
      <c r="E50" s="6"/>
      <c r="F50" s="6"/>
      <c r="G50" s="6"/>
      <c r="H50" s="6"/>
    </row>
    <row r="51" spans="1:8" x14ac:dyDescent="0.25">
      <c r="A51" s="6"/>
      <c r="B51" s="13" t="s">
        <v>13</v>
      </c>
      <c r="C51" s="6"/>
      <c r="D51" s="5">
        <f>C13</f>
        <v>500</v>
      </c>
      <c r="E51" s="5">
        <f t="shared" ref="E51:H52" si="2">D51*(1+$C$21)</f>
        <v>525</v>
      </c>
      <c r="F51" s="5">
        <f t="shared" si="2"/>
        <v>551.25</v>
      </c>
      <c r="G51" s="5">
        <f t="shared" si="2"/>
        <v>578.8125</v>
      </c>
      <c r="H51" s="5">
        <f t="shared" si="2"/>
        <v>607.75312500000007</v>
      </c>
    </row>
    <row r="52" spans="1:8" x14ac:dyDescent="0.25">
      <c r="A52" s="6"/>
      <c r="B52" s="13" t="s">
        <v>14</v>
      </c>
      <c r="C52" s="6"/>
      <c r="D52" s="5">
        <f>C14</f>
        <v>800</v>
      </c>
      <c r="E52" s="5">
        <f t="shared" si="2"/>
        <v>840</v>
      </c>
      <c r="F52" s="5">
        <f t="shared" si="2"/>
        <v>882</v>
      </c>
      <c r="G52" s="5">
        <f t="shared" si="2"/>
        <v>926.1</v>
      </c>
      <c r="H52" s="5">
        <f t="shared" si="2"/>
        <v>972.40500000000009</v>
      </c>
    </row>
    <row r="53" spans="1:8" x14ac:dyDescent="0.25">
      <c r="A53" s="6"/>
      <c r="B53" s="13"/>
      <c r="C53" s="6"/>
      <c r="D53" s="6"/>
      <c r="E53" s="6"/>
      <c r="F53" s="6"/>
      <c r="G53" s="6"/>
      <c r="H53" s="6"/>
    </row>
    <row r="54" spans="1:8" x14ac:dyDescent="0.25">
      <c r="A54" s="6"/>
      <c r="B54" s="13" t="s">
        <v>44</v>
      </c>
      <c r="C54" s="6"/>
      <c r="D54" s="5">
        <f>D51*$C$9+D52*$C$10</f>
        <v>1300</v>
      </c>
      <c r="E54" s="5">
        <f>E51*$C$9+E52*$C$10</f>
        <v>1365</v>
      </c>
      <c r="F54" s="5">
        <f>F51*$C$9+F52*$C$10</f>
        <v>1433.25</v>
      </c>
      <c r="G54" s="5">
        <f>G51*$C$9+G52*$C$10</f>
        <v>1504.9124999999999</v>
      </c>
      <c r="H54" s="5">
        <f>H51*$C$9+H52*$C$10</f>
        <v>1580.1581250000002</v>
      </c>
    </row>
    <row r="55" spans="1:8" x14ac:dyDescent="0.25">
      <c r="A55" s="6"/>
      <c r="B55" s="13" t="s">
        <v>45</v>
      </c>
      <c r="C55" s="6"/>
      <c r="D55" s="5">
        <f>D26*$C$15</f>
        <v>500</v>
      </c>
      <c r="E55" s="5">
        <f>E26*$C$15</f>
        <v>525</v>
      </c>
      <c r="F55" s="5">
        <f>F26*$C$15</f>
        <v>551.25</v>
      </c>
      <c r="G55" s="5">
        <f>G26*$C$15</f>
        <v>578.8125</v>
      </c>
      <c r="H55" s="5">
        <f>H26*$C$15</f>
        <v>607.75312500000007</v>
      </c>
    </row>
    <row r="56" spans="1:8" x14ac:dyDescent="0.25">
      <c r="A56" s="6"/>
      <c r="B56" s="13" t="s">
        <v>46</v>
      </c>
      <c r="C56" s="6"/>
      <c r="D56" s="5">
        <f>D26*$C$16</f>
        <v>750</v>
      </c>
      <c r="E56" s="5">
        <f>E26*$C$16</f>
        <v>787.5</v>
      </c>
      <c r="F56" s="5">
        <f>F26*$C$16</f>
        <v>826.875</v>
      </c>
      <c r="G56" s="5">
        <f>G26*$C$16</f>
        <v>868.21875</v>
      </c>
      <c r="H56" s="5">
        <f>H26*$C$16</f>
        <v>911.62968749999993</v>
      </c>
    </row>
    <row r="57" spans="1:8" x14ac:dyDescent="0.25">
      <c r="A57" s="6"/>
      <c r="B57" s="13" t="s">
        <v>47</v>
      </c>
      <c r="C57" s="6"/>
      <c r="D57" s="5">
        <f>SUM(D54:D56)</f>
        <v>2550</v>
      </c>
      <c r="E57" s="5">
        <f>SUM(E54:E56)</f>
        <v>2677.5</v>
      </c>
      <c r="F57" s="5">
        <f>SUM(F54:F56)</f>
        <v>2811.375</v>
      </c>
      <c r="G57" s="5">
        <f>SUM(G54:G56)</f>
        <v>2951.9437499999999</v>
      </c>
      <c r="H57" s="5">
        <f>SUM(H54:H56)</f>
        <v>3099.5409374999999</v>
      </c>
    </row>
    <row r="58" spans="1:8" x14ac:dyDescent="0.25">
      <c r="A58" s="6"/>
      <c r="B58" s="13"/>
      <c r="C58" s="6"/>
      <c r="D58" s="6"/>
      <c r="E58" s="6"/>
      <c r="F58" s="6"/>
      <c r="G58" s="6"/>
      <c r="H58" s="6"/>
    </row>
    <row r="59" spans="1:8" x14ac:dyDescent="0.25">
      <c r="A59" s="6"/>
      <c r="B59" s="13" t="s">
        <v>48</v>
      </c>
      <c r="C59" s="6"/>
      <c r="D59" s="5">
        <f>D51*$C$11+D52*$C$12</f>
        <v>2100</v>
      </c>
      <c r="E59" s="5">
        <f>E51*$C$11+E52*$C$12</f>
        <v>2205</v>
      </c>
      <c r="F59" s="5">
        <f>F51*$C$11+F52*$C$12</f>
        <v>2315.25</v>
      </c>
      <c r="G59" s="5">
        <f>G51*$C$11+G52*$C$12</f>
        <v>2431.0124999999998</v>
      </c>
      <c r="H59" s="5">
        <f>H51*$C$11+H52*$C$12</f>
        <v>2552.5631250000001</v>
      </c>
    </row>
    <row r="60" spans="1:8" x14ac:dyDescent="0.25">
      <c r="A60" s="6"/>
      <c r="B60" s="13" t="s">
        <v>49</v>
      </c>
      <c r="C60" s="6"/>
      <c r="D60" s="5">
        <f>D27*$C$15</f>
        <v>800</v>
      </c>
      <c r="E60" s="5">
        <f>E27*$C$15</f>
        <v>840</v>
      </c>
      <c r="F60" s="5">
        <f>F27*$C$15</f>
        <v>882</v>
      </c>
      <c r="G60" s="5">
        <f>G27*$C$15</f>
        <v>926.1</v>
      </c>
      <c r="H60" s="5">
        <f>H27*$C$15</f>
        <v>972.4050000000002</v>
      </c>
    </row>
    <row r="61" spans="1:8" x14ac:dyDescent="0.25">
      <c r="A61" s="6"/>
      <c r="B61" s="13" t="s">
        <v>50</v>
      </c>
      <c r="C61" s="6"/>
      <c r="D61" s="5">
        <f>D27*$C$16</f>
        <v>1200</v>
      </c>
      <c r="E61" s="5">
        <f>E27*$C$16</f>
        <v>1260</v>
      </c>
      <c r="F61" s="5">
        <f>F27*$C$16</f>
        <v>1323</v>
      </c>
      <c r="G61" s="5">
        <f>G27*$C$16</f>
        <v>1389.1499999999999</v>
      </c>
      <c r="H61" s="5">
        <f>H27*$C$16</f>
        <v>1458.6075000000001</v>
      </c>
    </row>
    <row r="62" spans="1:8" x14ac:dyDescent="0.25">
      <c r="A62" s="6"/>
      <c r="B62" s="13" t="s">
        <v>51</v>
      </c>
      <c r="C62" s="6"/>
      <c r="D62" s="5">
        <f>SUM(D59:D61)</f>
        <v>4100</v>
      </c>
      <c r="E62" s="5">
        <f>SUM(E59:E61)</f>
        <v>4305</v>
      </c>
      <c r="F62" s="5">
        <f>SUM(F59:F61)</f>
        <v>4520.25</v>
      </c>
      <c r="G62" s="5">
        <f>SUM(G59:G61)</f>
        <v>4746.2624999999998</v>
      </c>
      <c r="H62" s="5">
        <f>SUM(H59:H61)</f>
        <v>4983.5756250000004</v>
      </c>
    </row>
    <row r="63" spans="1:8" x14ac:dyDescent="0.25">
      <c r="A63" s="6"/>
      <c r="B63" s="13"/>
      <c r="C63" s="6"/>
      <c r="D63" s="6"/>
      <c r="E63" s="6"/>
      <c r="F63" s="6"/>
      <c r="G63" s="6"/>
      <c r="H63" s="6"/>
    </row>
    <row r="64" spans="1:8" x14ac:dyDescent="0.25">
      <c r="A64" s="6"/>
      <c r="B64" s="13" t="s">
        <v>52</v>
      </c>
      <c r="C64" s="6"/>
      <c r="D64" s="5">
        <f>D31*D57+D36*D62</f>
        <v>770400</v>
      </c>
      <c r="E64" s="5">
        <f>E31*E57+E36*E62</f>
        <v>848032.5</v>
      </c>
      <c r="F64" s="5">
        <f>F31*F57+F36*F62</f>
        <v>926982</v>
      </c>
      <c r="G64" s="5">
        <f>G31*G57+G36*G62</f>
        <v>1019404.575</v>
      </c>
      <c r="H64" s="5">
        <f>H31*H57+H36*H62</f>
        <v>1118751.9524999999</v>
      </c>
    </row>
    <row r="65" spans="1:13" x14ac:dyDescent="0.25">
      <c r="A65" s="6"/>
      <c r="B65" s="13" t="s">
        <v>53</v>
      </c>
      <c r="C65" s="6"/>
      <c r="D65" s="5">
        <f>D51*D41+D52*D46</f>
        <v>660900</v>
      </c>
      <c r="E65" s="5">
        <f>E51*E41+E52*E46</f>
        <v>719355</v>
      </c>
      <c r="F65" s="5">
        <f>F51*F41+F52*F46</f>
        <v>789169.5</v>
      </c>
      <c r="G65" s="5">
        <f>G51*G41+G52*G46</f>
        <v>866598.07500000007</v>
      </c>
      <c r="H65" s="5">
        <f>H51*H41+H52*H46</f>
        <v>950404.33687500004</v>
      </c>
    </row>
    <row r="66" spans="1:13" x14ac:dyDescent="0.25">
      <c r="A66" s="6"/>
      <c r="B66" s="13" t="s">
        <v>54</v>
      </c>
      <c r="C66" s="6"/>
      <c r="D66" s="5">
        <f>D44*D51+D49*D52</f>
        <v>48253800</v>
      </c>
      <c r="E66" s="5">
        <f>E44*E51+E49*E52</f>
        <v>51835560</v>
      </c>
      <c r="F66" s="5">
        <f>F44*F51+F49*F52</f>
        <v>56880621</v>
      </c>
      <c r="G66" s="5">
        <f>G44*G51+G49*G52</f>
        <v>62414509.5</v>
      </c>
      <c r="H66" s="5">
        <f>H44*H51+H49*H52</f>
        <v>68480649.719999999</v>
      </c>
    </row>
    <row r="67" spans="1:13" x14ac:dyDescent="0.25">
      <c r="A67" s="6"/>
      <c r="B67" s="13" t="s">
        <v>55</v>
      </c>
      <c r="C67" s="6"/>
      <c r="D67" s="5">
        <f>(D66/360)*$C$20</f>
        <v>4021150.0000000005</v>
      </c>
      <c r="E67" s="5">
        <f>(E66/360)*$C$20</f>
        <v>4319630</v>
      </c>
      <c r="F67" s="5">
        <f>(F66/360)*$C$20</f>
        <v>4740051.75</v>
      </c>
      <c r="G67" s="5">
        <f>(G66/360)*$C$20</f>
        <v>5201209.125</v>
      </c>
      <c r="H67" s="5">
        <f>(H66/360)*$C$20</f>
        <v>5706720.8100000005</v>
      </c>
    </row>
    <row r="68" spans="1:13" x14ac:dyDescent="0.25">
      <c r="A68" s="6"/>
      <c r="B68" s="13"/>
      <c r="C68" s="6"/>
      <c r="D68" s="6"/>
      <c r="E68" s="6"/>
      <c r="F68" s="6"/>
      <c r="G68" s="6"/>
      <c r="H68" s="6"/>
    </row>
    <row r="69" spans="1:13" x14ac:dyDescent="0.25">
      <c r="A69" s="6"/>
      <c r="B69" s="16" t="s">
        <v>56</v>
      </c>
      <c r="C69" s="17">
        <v>0</v>
      </c>
      <c r="D69" s="17">
        <v>1</v>
      </c>
      <c r="E69" s="17">
        <v>2</v>
      </c>
      <c r="F69" s="17">
        <v>3</v>
      </c>
      <c r="G69" s="17">
        <v>4</v>
      </c>
      <c r="H69" s="17">
        <v>5</v>
      </c>
    </row>
    <row r="70" spans="1:13" x14ac:dyDescent="0.25">
      <c r="A70" s="6"/>
      <c r="B70" s="13" t="s">
        <v>53</v>
      </c>
      <c r="C70" s="6"/>
      <c r="D70" s="5">
        <f>D65</f>
        <v>660900</v>
      </c>
      <c r="E70" s="5">
        <f>E65</f>
        <v>719355</v>
      </c>
      <c r="F70" s="5">
        <f>F65</f>
        <v>789169.5</v>
      </c>
      <c r="G70" s="5">
        <f>G65</f>
        <v>866598.07500000007</v>
      </c>
      <c r="H70" s="5">
        <f>H65</f>
        <v>950404.33687500004</v>
      </c>
    </row>
    <row r="71" spans="1:13" x14ac:dyDescent="0.25">
      <c r="A71" s="6"/>
      <c r="B71" s="13" t="s">
        <v>52</v>
      </c>
      <c r="C71" s="6"/>
      <c r="D71" s="5">
        <f>D64</f>
        <v>770400</v>
      </c>
      <c r="E71" s="5">
        <f>E64</f>
        <v>848032.5</v>
      </c>
      <c r="F71" s="5">
        <f>F64</f>
        <v>926982</v>
      </c>
      <c r="G71" s="5">
        <f>G64</f>
        <v>1019404.575</v>
      </c>
      <c r="H71" s="5">
        <f>H64</f>
        <v>1118751.9524999999</v>
      </c>
    </row>
    <row r="72" spans="1:13" x14ac:dyDescent="0.25">
      <c r="A72" s="6"/>
      <c r="B72" s="13" t="s">
        <v>27</v>
      </c>
      <c r="C72" s="6"/>
      <c r="D72" s="5">
        <f>D29</f>
        <v>15116666.666666666</v>
      </c>
      <c r="E72" s="5">
        <f>E29</f>
        <v>16586762.500000002</v>
      </c>
      <c r="F72" s="5">
        <f>F29</f>
        <v>18200253.75</v>
      </c>
      <c r="G72" s="5">
        <f>G29</f>
        <v>19969706.53125</v>
      </c>
      <c r="H72" s="5">
        <f>H29</f>
        <v>21911323.415625002</v>
      </c>
    </row>
    <row r="73" spans="1:13" x14ac:dyDescent="0.25">
      <c r="A73" s="6"/>
      <c r="B73" s="13" t="s">
        <v>55</v>
      </c>
      <c r="C73" s="6"/>
      <c r="D73" s="5">
        <f>D67</f>
        <v>4021150.0000000005</v>
      </c>
      <c r="E73" s="5">
        <f>E67</f>
        <v>4319630</v>
      </c>
      <c r="F73" s="5">
        <f>F67</f>
        <v>4740051.75</v>
      </c>
      <c r="G73" s="5">
        <f>G67</f>
        <v>5201209.125</v>
      </c>
      <c r="H73" s="5">
        <f>H67</f>
        <v>5706720.8100000005</v>
      </c>
    </row>
    <row r="74" spans="1:13" x14ac:dyDescent="0.25">
      <c r="A74" s="6"/>
      <c r="B74" s="13" t="s">
        <v>57</v>
      </c>
      <c r="C74" s="6"/>
      <c r="D74" s="5">
        <f>SUM(D70:D72)-D73</f>
        <v>12526816.666666666</v>
      </c>
      <c r="E74" s="5">
        <f>SUM(E70:E72)-E73</f>
        <v>13834520</v>
      </c>
      <c r="F74" s="5">
        <f>SUM(F70:F72)-F73</f>
        <v>15176353.5</v>
      </c>
      <c r="G74" s="5">
        <f>SUM(G70:G72)-G73</f>
        <v>16654500.056249999</v>
      </c>
      <c r="H74" s="5">
        <f>SUM(H70:H72)-H73</f>
        <v>18273758.895000003</v>
      </c>
    </row>
    <row r="75" spans="1:13" x14ac:dyDescent="0.25">
      <c r="A75" s="6"/>
      <c r="B75" s="13" t="s">
        <v>58</v>
      </c>
      <c r="C75" s="5">
        <f>D74</f>
        <v>12526816.666666666</v>
      </c>
      <c r="D75" s="5">
        <f>IF(E74&gt;D74,E74-D74,0)</f>
        <v>1307703.333333334</v>
      </c>
      <c r="E75" s="5">
        <f>IF(F74&gt;E74,F74-E74,0)</f>
        <v>1341833.5</v>
      </c>
      <c r="F75" s="5">
        <f>IF(G74&gt;F74,G74-F74,0)</f>
        <v>1478146.5562499985</v>
      </c>
      <c r="G75" s="5">
        <f>IF(H74&gt;G74,H74-G74,0)</f>
        <v>1619258.8387500048</v>
      </c>
      <c r="H75" s="46">
        <v>1920436.06092188</v>
      </c>
    </row>
    <row r="76" spans="1:13" x14ac:dyDescent="0.25">
      <c r="A76" s="6"/>
      <c r="B76" s="13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</row>
    <row r="77" spans="1:13" x14ac:dyDescent="0.25">
      <c r="A77" s="6"/>
      <c r="B77" s="13"/>
      <c r="C77" s="6"/>
      <c r="D77" s="5">
        <f>D70+D71</f>
        <v>1431300</v>
      </c>
      <c r="E77" s="6"/>
      <c r="F77" s="6"/>
      <c r="G77" s="6"/>
      <c r="H77" s="6"/>
      <c r="I77" s="6"/>
      <c r="J77" s="6"/>
      <c r="K77" s="6"/>
      <c r="L77" s="6"/>
      <c r="M77" s="6"/>
    </row>
    <row r="78" spans="1:13" x14ac:dyDescent="0.25">
      <c r="A78" s="9"/>
      <c r="B78" s="21"/>
      <c r="C78" s="21"/>
      <c r="D78" s="21"/>
      <c r="E78" s="21"/>
      <c r="F78" s="21"/>
      <c r="G78" s="21"/>
      <c r="H78" s="6"/>
      <c r="I78" s="6"/>
      <c r="J78" s="6"/>
      <c r="K78" s="6"/>
      <c r="L78" s="6"/>
      <c r="M78" s="6"/>
    </row>
    <row r="79" spans="1:13" x14ac:dyDescent="0.25">
      <c r="A79" s="9"/>
      <c r="B79" s="22"/>
      <c r="C79" s="21"/>
      <c r="D79" s="21"/>
      <c r="E79" s="21"/>
      <c r="F79" s="21"/>
      <c r="G79" s="21"/>
      <c r="H79" s="6"/>
      <c r="I79" s="6"/>
      <c r="J79" s="6"/>
      <c r="K79" s="6"/>
      <c r="L79" s="6"/>
      <c r="M79" s="6"/>
    </row>
    <row r="80" spans="1:13" x14ac:dyDescent="0.25">
      <c r="A80" s="9"/>
      <c r="B80" s="20"/>
      <c r="C80" s="21"/>
      <c r="D80" s="21"/>
      <c r="E80" s="21"/>
      <c r="F80" s="21"/>
      <c r="G80" s="21"/>
      <c r="H80" s="6"/>
      <c r="I80" s="6"/>
      <c r="J80" s="6"/>
      <c r="K80" s="6"/>
      <c r="L80" s="6"/>
      <c r="M80" s="6"/>
    </row>
    <row r="81" spans="1:13" x14ac:dyDescent="0.25">
      <c r="A81" s="9" t="s">
        <v>43</v>
      </c>
      <c r="B81" s="20">
        <v>0.05</v>
      </c>
      <c r="C81" s="21"/>
      <c r="D81" s="21"/>
      <c r="E81" s="21"/>
      <c r="F81" s="21"/>
      <c r="G81" s="21"/>
      <c r="H81" s="6"/>
      <c r="I81" s="6"/>
      <c r="J81" s="6"/>
      <c r="K81" s="6"/>
      <c r="L81" s="6"/>
      <c r="M81" s="6"/>
    </row>
    <row r="82" spans="1:13" x14ac:dyDescent="0.25">
      <c r="A82" s="9" t="s">
        <v>63</v>
      </c>
      <c r="B82" s="22">
        <v>100000000</v>
      </c>
      <c r="C82" s="21"/>
      <c r="D82" s="21"/>
      <c r="E82" s="21"/>
      <c r="F82" s="21"/>
      <c r="G82" s="21"/>
      <c r="H82" s="6"/>
      <c r="I82" s="6"/>
      <c r="J82" s="6"/>
      <c r="K82" s="6"/>
      <c r="L82" s="6"/>
      <c r="M82" s="6"/>
    </row>
    <row r="83" spans="1:13" x14ac:dyDescent="0.25">
      <c r="A83" s="9" t="s">
        <v>64</v>
      </c>
      <c r="B83" s="22">
        <v>20000000</v>
      </c>
      <c r="C83" s="21"/>
      <c r="D83" s="21"/>
      <c r="E83" s="21"/>
      <c r="F83" s="21"/>
      <c r="G83" s="21"/>
      <c r="H83" s="6"/>
      <c r="I83" s="6"/>
      <c r="J83" s="6"/>
      <c r="K83" s="6"/>
      <c r="L83" s="6"/>
      <c r="M83" s="6"/>
    </row>
    <row r="84" spans="1:13" x14ac:dyDescent="0.25">
      <c r="A84" s="9" t="s">
        <v>65</v>
      </c>
      <c r="B84" s="22">
        <v>2000000</v>
      </c>
      <c r="C84" s="21" t="s">
        <v>60</v>
      </c>
      <c r="D84" s="21"/>
      <c r="E84" s="21"/>
      <c r="F84" s="21"/>
      <c r="G84" s="21"/>
      <c r="H84" s="6"/>
      <c r="I84" s="6"/>
      <c r="J84" s="6"/>
      <c r="K84" s="6"/>
      <c r="L84" s="6"/>
      <c r="M84" s="6"/>
    </row>
    <row r="85" spans="1:13" x14ac:dyDescent="0.25">
      <c r="A85" s="9" t="s">
        <v>66</v>
      </c>
      <c r="B85" s="22">
        <v>10000000</v>
      </c>
      <c r="C85" s="21"/>
      <c r="D85" s="21"/>
      <c r="E85" s="21"/>
      <c r="F85" s="21"/>
      <c r="G85" s="21"/>
      <c r="H85" s="6"/>
      <c r="I85" s="6"/>
      <c r="J85" s="6"/>
      <c r="K85" s="6"/>
      <c r="L85" s="6"/>
      <c r="M85" s="6"/>
    </row>
    <row r="86" spans="1:13" x14ac:dyDescent="0.25">
      <c r="A86" s="9" t="s">
        <v>67</v>
      </c>
      <c r="B86" s="22">
        <v>10000000</v>
      </c>
      <c r="C86" s="21" t="s">
        <v>60</v>
      </c>
      <c r="D86" s="21"/>
      <c r="E86" s="21"/>
      <c r="F86" s="21"/>
      <c r="G86" s="21"/>
      <c r="H86" s="6"/>
      <c r="I86" s="6"/>
      <c r="J86" s="6"/>
      <c r="K86" s="6"/>
      <c r="L86" s="6"/>
      <c r="M86" s="6"/>
    </row>
    <row r="87" spans="1:13" x14ac:dyDescent="0.25">
      <c r="A87" s="9" t="s">
        <v>68</v>
      </c>
      <c r="B87" s="20">
        <v>0.1</v>
      </c>
      <c r="C87" s="21" t="s">
        <v>69</v>
      </c>
      <c r="D87" s="21"/>
      <c r="E87" s="23"/>
      <c r="F87" s="21"/>
      <c r="G87" s="21"/>
      <c r="H87" s="6"/>
      <c r="I87" s="6"/>
      <c r="J87" s="6"/>
      <c r="K87" s="6"/>
      <c r="L87" s="6"/>
      <c r="M87" s="6"/>
    </row>
    <row r="88" spans="1:13" x14ac:dyDescent="0.25">
      <c r="A88" s="9" t="s">
        <v>70</v>
      </c>
      <c r="B88" s="21">
        <v>12000</v>
      </c>
      <c r="C88" s="21"/>
      <c r="D88" s="21"/>
      <c r="E88" s="21"/>
      <c r="F88" s="21"/>
      <c r="G88" s="21"/>
      <c r="H88" s="6"/>
      <c r="I88" s="6"/>
      <c r="J88" s="6"/>
      <c r="K88" s="6"/>
      <c r="L88" s="6"/>
      <c r="M88" s="6"/>
    </row>
    <row r="89" spans="1:13" x14ac:dyDescent="0.25">
      <c r="A89" s="9" t="s">
        <v>72</v>
      </c>
      <c r="B89" s="24">
        <v>2700</v>
      </c>
      <c r="C89" s="21" t="s">
        <v>71</v>
      </c>
      <c r="D89" s="21">
        <v>2000</v>
      </c>
      <c r="E89" s="21"/>
      <c r="F89" s="21"/>
      <c r="G89" s="21"/>
      <c r="H89" s="6"/>
      <c r="I89" s="6"/>
      <c r="J89" s="6"/>
      <c r="K89" s="6"/>
      <c r="L89" s="6"/>
      <c r="M89" s="6"/>
    </row>
    <row r="90" spans="1:13" x14ac:dyDescent="0.25">
      <c r="A90" s="9" t="s">
        <v>73</v>
      </c>
      <c r="B90" s="20"/>
      <c r="C90" s="21"/>
      <c r="D90" s="21"/>
      <c r="E90" s="21"/>
      <c r="F90" s="21"/>
      <c r="G90" s="21"/>
      <c r="H90" s="6"/>
      <c r="I90" s="6"/>
      <c r="J90" s="6"/>
      <c r="K90" s="6"/>
      <c r="L90" s="6"/>
      <c r="M90" s="6"/>
    </row>
    <row r="91" spans="1:13" x14ac:dyDescent="0.25">
      <c r="A91" s="9" t="s">
        <v>74</v>
      </c>
      <c r="B91" s="20">
        <v>0.33</v>
      </c>
      <c r="C91" s="21"/>
      <c r="D91" s="21"/>
      <c r="E91" s="21"/>
      <c r="F91" s="21"/>
      <c r="G91" s="21"/>
      <c r="H91" s="6"/>
      <c r="I91" s="6"/>
      <c r="J91" s="6"/>
      <c r="K91" s="6"/>
      <c r="L91" s="6"/>
      <c r="M91" s="6"/>
    </row>
    <row r="92" spans="1:13" x14ac:dyDescent="0.25">
      <c r="A92" s="9" t="s">
        <v>115</v>
      </c>
      <c r="B92" s="22">
        <v>5000</v>
      </c>
      <c r="C92" s="21" t="s">
        <v>3</v>
      </c>
      <c r="D92" s="21"/>
      <c r="E92" s="21"/>
      <c r="F92" s="21"/>
      <c r="G92" s="21"/>
      <c r="H92" s="6"/>
      <c r="I92" s="6"/>
      <c r="J92" s="6"/>
      <c r="K92" s="6"/>
      <c r="L92" s="6"/>
      <c r="M92" s="6"/>
    </row>
    <row r="93" spans="1:13" x14ac:dyDescent="0.25">
      <c r="A93" s="9" t="s">
        <v>116</v>
      </c>
      <c r="B93" s="22">
        <v>8000</v>
      </c>
      <c r="C93" s="21" t="s">
        <v>3</v>
      </c>
      <c r="D93" s="21"/>
      <c r="E93" s="21"/>
      <c r="F93" s="21"/>
      <c r="G93" s="21"/>
      <c r="H93" s="6"/>
      <c r="I93" s="6"/>
      <c r="J93" s="6"/>
      <c r="K93" s="6"/>
      <c r="L93" s="6"/>
      <c r="M93" s="6"/>
    </row>
    <row r="94" spans="1:13" x14ac:dyDescent="0.25">
      <c r="A94" s="9" t="s">
        <v>75</v>
      </c>
      <c r="B94" s="21">
        <v>30</v>
      </c>
      <c r="C94" s="21" t="s">
        <v>76</v>
      </c>
      <c r="D94" s="21"/>
      <c r="E94" s="21"/>
      <c r="F94" s="21"/>
      <c r="G94" s="21"/>
      <c r="H94" s="6"/>
      <c r="I94" s="6"/>
      <c r="J94" s="6"/>
      <c r="K94" s="6"/>
      <c r="L94" s="6"/>
      <c r="M94" s="6"/>
    </row>
    <row r="95" spans="1:13" x14ac:dyDescent="0.25">
      <c r="A95" s="9" t="s">
        <v>77</v>
      </c>
      <c r="B95" s="20">
        <v>0.9</v>
      </c>
      <c r="C95" s="21"/>
      <c r="D95" s="21"/>
      <c r="E95" s="21"/>
      <c r="F95" s="21"/>
      <c r="G95" s="21"/>
      <c r="H95" s="6"/>
      <c r="I95" s="6"/>
      <c r="J95" s="6"/>
      <c r="K95" s="6"/>
      <c r="L95" s="6"/>
      <c r="M95" s="6"/>
    </row>
    <row r="96" spans="1:13" x14ac:dyDescent="0.25">
      <c r="A96" s="9" t="s">
        <v>78</v>
      </c>
      <c r="B96" s="20">
        <v>0.1</v>
      </c>
      <c r="C96" s="20">
        <f>B96+B95</f>
        <v>1</v>
      </c>
      <c r="D96" s="21"/>
      <c r="E96" s="21"/>
      <c r="F96" s="21"/>
      <c r="G96" s="21"/>
      <c r="H96" s="6"/>
      <c r="I96" s="6"/>
      <c r="J96" s="6"/>
      <c r="K96" s="6"/>
      <c r="L96" s="6"/>
      <c r="M96" s="6"/>
    </row>
    <row r="97" spans="1:13" x14ac:dyDescent="0.25">
      <c r="A97" s="9" t="s">
        <v>232</v>
      </c>
      <c r="B97" s="21">
        <v>5</v>
      </c>
      <c r="C97" s="21" t="s">
        <v>1</v>
      </c>
      <c r="D97" s="21"/>
      <c r="E97" s="21"/>
      <c r="F97" s="21"/>
      <c r="G97" s="21"/>
      <c r="H97" s="6"/>
      <c r="I97" s="6"/>
      <c r="J97" s="6"/>
      <c r="K97" s="6"/>
      <c r="L97" s="6"/>
      <c r="M97" s="6"/>
    </row>
    <row r="98" spans="1:13" x14ac:dyDescent="0.25">
      <c r="A98" s="9" t="s">
        <v>79</v>
      </c>
      <c r="B98" s="21"/>
      <c r="C98" s="21"/>
      <c r="D98" s="21"/>
      <c r="E98" s="21"/>
      <c r="F98" s="21"/>
      <c r="G98" s="21"/>
      <c r="H98" s="6"/>
      <c r="I98" s="6"/>
      <c r="J98" s="6"/>
      <c r="K98" s="6"/>
      <c r="L98" s="6"/>
      <c r="M98" s="6"/>
    </row>
    <row r="99" spans="1:13" x14ac:dyDescent="0.25">
      <c r="A99" s="9" t="s">
        <v>80</v>
      </c>
      <c r="B99" s="25">
        <v>0.21</v>
      </c>
      <c r="C99" s="21" t="s">
        <v>81</v>
      </c>
      <c r="D99" s="21"/>
      <c r="E99" s="21"/>
      <c r="F99" s="21"/>
      <c r="G99" s="21"/>
      <c r="H99" s="6"/>
      <c r="I99" s="6"/>
      <c r="J99" s="6"/>
      <c r="K99" s="6"/>
      <c r="L99" s="6"/>
      <c r="M99" s="6"/>
    </row>
    <row r="100" spans="1:13" x14ac:dyDescent="0.25">
      <c r="A100" s="9" t="s">
        <v>82</v>
      </c>
      <c r="B100" s="20">
        <v>0.05</v>
      </c>
      <c r="C100" s="20">
        <v>0.06</v>
      </c>
      <c r="D100" s="20">
        <v>0.03</v>
      </c>
      <c r="E100" s="20">
        <v>0.02</v>
      </c>
      <c r="F100" s="20"/>
      <c r="G100" s="21"/>
      <c r="H100" s="6"/>
      <c r="I100" s="6"/>
      <c r="J100" s="6"/>
      <c r="K100" s="6"/>
      <c r="L100" s="6"/>
      <c r="M100" s="6"/>
    </row>
    <row r="101" spans="1:13" x14ac:dyDescent="0.25">
      <c r="A101" s="9" t="s">
        <v>83</v>
      </c>
      <c r="B101" s="26">
        <v>0.38500000000000001</v>
      </c>
      <c r="C101" s="21"/>
      <c r="D101" s="21"/>
      <c r="E101" s="21"/>
      <c r="F101" s="21"/>
      <c r="G101" s="21"/>
      <c r="H101" s="6"/>
      <c r="I101" s="6"/>
      <c r="J101" s="6"/>
      <c r="K101" s="6"/>
      <c r="L101" s="6"/>
      <c r="M101" s="6"/>
    </row>
    <row r="102" spans="1:13" x14ac:dyDescent="0.25">
      <c r="A102" s="9" t="s">
        <v>84</v>
      </c>
      <c r="B102" s="21">
        <v>5</v>
      </c>
      <c r="C102" s="21" t="s">
        <v>1</v>
      </c>
      <c r="D102" s="21"/>
      <c r="E102" s="21"/>
      <c r="F102" s="21"/>
      <c r="G102" s="21"/>
      <c r="H102" s="6"/>
      <c r="I102" s="6"/>
      <c r="J102" s="6"/>
      <c r="K102" s="6"/>
      <c r="L102" s="6"/>
      <c r="M102" s="6"/>
    </row>
    <row r="103" spans="1:13" x14ac:dyDescent="0.25">
      <c r="A103" s="9" t="s">
        <v>85</v>
      </c>
      <c r="B103" s="20">
        <v>0.2</v>
      </c>
      <c r="C103" s="21"/>
      <c r="D103" s="21"/>
      <c r="E103" s="21"/>
      <c r="F103" s="21"/>
      <c r="G103" s="21"/>
      <c r="H103" s="6"/>
      <c r="I103" s="6"/>
      <c r="J103" s="6"/>
      <c r="K103" s="6"/>
      <c r="L103" s="6"/>
      <c r="M103" s="6"/>
    </row>
    <row r="104" spans="1:13" x14ac:dyDescent="0.25">
      <c r="A104" s="9"/>
      <c r="B104" s="21"/>
      <c r="C104" s="21"/>
      <c r="D104" s="21"/>
      <c r="E104" s="21"/>
      <c r="F104" s="21"/>
      <c r="G104" s="21"/>
      <c r="H104" s="6"/>
      <c r="I104" s="6"/>
      <c r="J104" s="6"/>
      <c r="K104" s="6"/>
      <c r="L104" s="6"/>
      <c r="M104" s="6"/>
    </row>
    <row r="105" spans="1:13" x14ac:dyDescent="0.25">
      <c r="A105" s="9"/>
      <c r="B105" s="27"/>
      <c r="C105" s="27">
        <v>1</v>
      </c>
      <c r="D105" s="27">
        <v>2</v>
      </c>
      <c r="E105" s="27">
        <v>3</v>
      </c>
      <c r="F105" s="27">
        <v>4</v>
      </c>
      <c r="G105" s="27">
        <v>5</v>
      </c>
      <c r="H105" s="6"/>
      <c r="I105" s="6"/>
      <c r="J105" s="6"/>
      <c r="K105" s="6"/>
      <c r="L105" s="6"/>
      <c r="M105" s="6"/>
    </row>
    <row r="106" spans="1:13" x14ac:dyDescent="0.25">
      <c r="A106" s="9" t="s">
        <v>86</v>
      </c>
      <c r="B106" s="21"/>
      <c r="C106" s="21">
        <f>B89*12</f>
        <v>32400</v>
      </c>
      <c r="D106" s="21">
        <f>ROUND('Analisis de sensibilidad 2'!C106*(1+'Analisis de sensibilidad 2'!$B$100),0)</f>
        <v>34020</v>
      </c>
      <c r="E106" s="21">
        <f>ROUND(D106*(1+'Analisis de sensibilidad 2'!$C$100),0)</f>
        <v>36061</v>
      </c>
      <c r="F106" s="21">
        <f>ROUND(E106*(1+$D$100),0)</f>
        <v>37143</v>
      </c>
      <c r="G106" s="21">
        <f>ROUND(F106*(1+$E$100),0)</f>
        <v>37886</v>
      </c>
      <c r="H106" s="6"/>
      <c r="I106" s="6"/>
      <c r="J106" s="6"/>
      <c r="K106" s="6"/>
      <c r="L106" s="6"/>
      <c r="M106" s="6"/>
    </row>
    <row r="107" spans="1:13" x14ac:dyDescent="0.25">
      <c r="A107" s="9" t="s">
        <v>87</v>
      </c>
      <c r="B107" s="21"/>
      <c r="C107" s="21">
        <f>$B$88*12</f>
        <v>144000</v>
      </c>
      <c r="D107" s="21">
        <f>'Analisis de sensibilidad 2'!$B$88*12</f>
        <v>144000</v>
      </c>
      <c r="E107" s="21">
        <f>'Analisis de sensibilidad 2'!$B$88*12</f>
        <v>144000</v>
      </c>
      <c r="F107" s="21">
        <f>'Analisis de sensibilidad 2'!$B$88*12</f>
        <v>144000</v>
      </c>
      <c r="G107" s="21">
        <f>'Analisis de sensibilidad 2'!$B$88*12</f>
        <v>144000</v>
      </c>
      <c r="H107" s="6"/>
      <c r="I107" s="6"/>
      <c r="J107" s="6"/>
      <c r="K107" s="6"/>
      <c r="L107" s="6"/>
      <c r="M107" s="6"/>
    </row>
    <row r="108" spans="1:13" x14ac:dyDescent="0.25">
      <c r="A108" s="9" t="s">
        <v>88</v>
      </c>
      <c r="B108" s="21"/>
      <c r="C108" s="21">
        <f>IF(C106&lt;C107,C106,C107)</f>
        <v>32400</v>
      </c>
      <c r="D108" s="21">
        <f>IF(D106&lt;D107,D106,D107)</f>
        <v>34020</v>
      </c>
      <c r="E108" s="21">
        <f>IF(E106&lt;E107,E106,E107)</f>
        <v>36061</v>
      </c>
      <c r="F108" s="21">
        <f>IF(F106&lt;F107,F106,F107)</f>
        <v>37143</v>
      </c>
      <c r="G108" s="21">
        <f>IF(G106&lt;G107,G106,G107)</f>
        <v>37886</v>
      </c>
      <c r="H108" s="6"/>
      <c r="I108" s="6"/>
      <c r="J108" s="6"/>
      <c r="K108" s="6"/>
      <c r="L108" s="6"/>
      <c r="M108" s="6"/>
    </row>
    <row r="109" spans="1:13" x14ac:dyDescent="0.25">
      <c r="A109" s="9" t="s">
        <v>119</v>
      </c>
      <c r="B109" s="21"/>
      <c r="C109" s="21">
        <f>C106</f>
        <v>32400</v>
      </c>
      <c r="D109" s="21">
        <f>D106</f>
        <v>34020</v>
      </c>
      <c r="E109" s="21">
        <f>E106</f>
        <v>36061</v>
      </c>
      <c r="F109" s="21">
        <f>F106</f>
        <v>37143</v>
      </c>
      <c r="G109" s="21">
        <f>G106</f>
        <v>37886</v>
      </c>
      <c r="H109" s="6"/>
      <c r="I109" s="6"/>
      <c r="J109" s="6"/>
      <c r="K109" s="6"/>
      <c r="L109" s="6"/>
      <c r="M109" s="6"/>
    </row>
    <row r="110" spans="1:13" x14ac:dyDescent="0.25">
      <c r="A110" s="9" t="s">
        <v>120</v>
      </c>
      <c r="B110" s="21"/>
      <c r="C110" s="14">
        <v>1800</v>
      </c>
      <c r="D110" s="14">
        <f>ROUND('Analisis de sensibilidad 2'!C110*(1+$E$5),0)</f>
        <v>1881</v>
      </c>
      <c r="E110" s="14">
        <f>ROUND(D110*(1+$E$5),0)</f>
        <v>1966</v>
      </c>
      <c r="F110" s="14">
        <f>ROUND(E110*(1+$E$5),0)</f>
        <v>2054</v>
      </c>
      <c r="G110" s="14">
        <f>ROUND(F110*(1+$E$5),0)</f>
        <v>2146</v>
      </c>
      <c r="H110" s="6"/>
      <c r="I110" s="6"/>
      <c r="J110" s="6"/>
      <c r="K110" s="6"/>
      <c r="L110" s="6"/>
      <c r="M110" s="6"/>
    </row>
    <row r="111" spans="1:13" x14ac:dyDescent="0.25">
      <c r="A111" s="9" t="s">
        <v>117</v>
      </c>
      <c r="B111" s="21"/>
      <c r="C111" s="22">
        <f>B92</f>
        <v>5000</v>
      </c>
      <c r="D111" s="5">
        <f>'Analisis de sensibilidad 2'!C111*(1+$C$8)</f>
        <v>5250</v>
      </c>
      <c r="E111" s="5">
        <f t="shared" ref="E111:G112" si="3">D111*(1+$C$8)</f>
        <v>5512.5</v>
      </c>
      <c r="F111" s="5">
        <f t="shared" si="3"/>
        <v>5788.125</v>
      </c>
      <c r="G111" s="5">
        <f t="shared" si="3"/>
        <v>6077.53125</v>
      </c>
      <c r="H111" s="6"/>
      <c r="I111" s="6"/>
      <c r="J111" s="6"/>
      <c r="K111" s="6"/>
      <c r="L111" s="6"/>
      <c r="M111" s="6"/>
    </row>
    <row r="112" spans="1:13" x14ac:dyDescent="0.25">
      <c r="A112" s="9" t="s">
        <v>118</v>
      </c>
      <c r="B112" s="21"/>
      <c r="C112" s="22">
        <f>B93</f>
        <v>8000</v>
      </c>
      <c r="D112" s="5">
        <f>'Analisis de sensibilidad 2'!C112*(1+$C$8)</f>
        <v>8400</v>
      </c>
      <c r="E112" s="5">
        <f t="shared" si="3"/>
        <v>8820</v>
      </c>
      <c r="F112" s="5">
        <f t="shared" si="3"/>
        <v>9261</v>
      </c>
      <c r="G112" s="5">
        <f t="shared" si="3"/>
        <v>9724.0500000000011</v>
      </c>
      <c r="H112" s="6"/>
      <c r="I112" s="6"/>
      <c r="J112" s="6"/>
      <c r="K112" s="6"/>
      <c r="L112" s="6"/>
      <c r="M112" s="6"/>
    </row>
    <row r="113" spans="1:13" x14ac:dyDescent="0.25">
      <c r="A113" s="9"/>
      <c r="B113" s="21"/>
      <c r="C113" s="21" t="s">
        <v>128</v>
      </c>
      <c r="D113" s="21" t="s">
        <v>129</v>
      </c>
      <c r="E113" s="21" t="s">
        <v>130</v>
      </c>
      <c r="F113" s="21" t="s">
        <v>131</v>
      </c>
      <c r="G113" s="21" t="s">
        <v>132</v>
      </c>
      <c r="H113" s="6"/>
      <c r="I113" s="6"/>
      <c r="J113" s="6"/>
      <c r="K113" s="6"/>
      <c r="L113" s="6"/>
      <c r="M113" s="6"/>
    </row>
    <row r="114" spans="1:13" x14ac:dyDescent="0.25">
      <c r="A114" s="9" t="s">
        <v>59</v>
      </c>
      <c r="B114" s="21"/>
      <c r="C114" s="22">
        <f>+'Analisis de sensibilidad 2'!C109*'Analisis de sensibilidad 2'!C111+'Analisis de sensibilidad 2'!C110*'Analisis de sensibilidad 2'!C112</f>
        <v>176400000</v>
      </c>
      <c r="D114" s="22">
        <f>+D109*D111+D110*D112</f>
        <v>194405400</v>
      </c>
      <c r="E114" s="22">
        <f>+E109*E111+E110*E112</f>
        <v>216126382.5</v>
      </c>
      <c r="F114" s="22">
        <f>+F109*F111+F110*F112</f>
        <v>234010420.875</v>
      </c>
      <c r="G114" s="22">
        <f>+G109*G111+G110*G112</f>
        <v>251121160.23750001</v>
      </c>
      <c r="H114" s="6"/>
      <c r="I114" s="6" t="s">
        <v>121</v>
      </c>
      <c r="J114" s="6"/>
      <c r="K114" s="6"/>
      <c r="L114" s="6"/>
      <c r="M114" s="6"/>
    </row>
    <row r="115" spans="1:13" x14ac:dyDescent="0.25">
      <c r="A115" s="28" t="s">
        <v>89</v>
      </c>
      <c r="B115" s="21"/>
      <c r="C115" s="22">
        <f>('Analisis de sensibilidad 2'!B86*12)+(C114*'Analisis de sensibilidad 2'!B87)</f>
        <v>137640000</v>
      </c>
      <c r="D115" s="22">
        <f>+C115*(1+$C$21)</f>
        <v>144522000</v>
      </c>
      <c r="E115" s="22">
        <f>+D115*(1+$C$21)</f>
        <v>151748100</v>
      </c>
      <c r="F115" s="22">
        <f>+E115*(1+$C$21)</f>
        <v>159335505</v>
      </c>
      <c r="G115" s="22">
        <f>+F115*(1+$C$21)</f>
        <v>167302280.25</v>
      </c>
      <c r="H115" s="6"/>
      <c r="I115" s="6"/>
      <c r="J115" s="6"/>
      <c r="K115" s="6"/>
      <c r="L115" s="6"/>
      <c r="M115" s="6"/>
    </row>
    <row r="116" spans="1:13" x14ac:dyDescent="0.25">
      <c r="A116" s="29" t="s">
        <v>90</v>
      </c>
      <c r="B116" s="21"/>
      <c r="C116" s="30">
        <f>C114-C115</f>
        <v>38760000</v>
      </c>
      <c r="D116" s="30">
        <f>D114-D115</f>
        <v>49883400</v>
      </c>
      <c r="E116" s="30">
        <f>E114-E115</f>
        <v>64378282.5</v>
      </c>
      <c r="F116" s="30">
        <f>F114-F115</f>
        <v>74674915.875</v>
      </c>
      <c r="G116" s="30">
        <f>G114-G115</f>
        <v>83818879.987500012</v>
      </c>
      <c r="H116" s="6"/>
      <c r="I116" s="6"/>
      <c r="J116" s="6"/>
      <c r="K116" s="6"/>
      <c r="L116" s="6"/>
      <c r="M116" s="6"/>
    </row>
    <row r="117" spans="1:13" x14ac:dyDescent="0.25">
      <c r="A117" s="28" t="s">
        <v>91</v>
      </c>
      <c r="B117" s="21"/>
      <c r="C117" s="22">
        <f>('Analisis de sensibilidad 2'!B84*12)</f>
        <v>24000000</v>
      </c>
      <c r="D117" s="22">
        <f>C117*(1+$C$21)</f>
        <v>25200000</v>
      </c>
      <c r="E117" s="22">
        <f>D117*(1+$C$21)</f>
        <v>26460000</v>
      </c>
      <c r="F117" s="22">
        <f>E117*(1+$C$21)</f>
        <v>27783000</v>
      </c>
      <c r="G117" s="22">
        <f>F117*(1+$C$21)</f>
        <v>29172150</v>
      </c>
      <c r="H117" s="6"/>
      <c r="I117" s="6"/>
      <c r="J117" s="6"/>
      <c r="K117" s="6"/>
      <c r="L117" s="6"/>
      <c r="M117" s="6"/>
    </row>
    <row r="118" spans="1:13" x14ac:dyDescent="0.25">
      <c r="A118" s="28" t="s">
        <v>92</v>
      </c>
      <c r="B118" s="21"/>
      <c r="C118" s="22">
        <f>('Analisis de sensibilidad 2'!$B$82+'Analisis de sensibilidad 2'!$B$83+'Analisis de sensibilidad 2'!$B$85)/5</f>
        <v>26000000</v>
      </c>
      <c r="D118" s="22">
        <f>('Analisis de sensibilidad 2'!$B$82+'Analisis de sensibilidad 2'!$B$83+'Analisis de sensibilidad 2'!$B$85)/5</f>
        <v>26000000</v>
      </c>
      <c r="E118" s="22">
        <f>('Analisis de sensibilidad 2'!$B$82+'Analisis de sensibilidad 2'!$B$83+'Analisis de sensibilidad 2'!$B$85)/5</f>
        <v>26000000</v>
      </c>
      <c r="F118" s="22">
        <f>('Analisis de sensibilidad 2'!$B$82+'Analisis de sensibilidad 2'!$B$83+'Analisis de sensibilidad 2'!$B$85)/5</f>
        <v>26000000</v>
      </c>
      <c r="G118" s="22">
        <f>('Analisis de sensibilidad 2'!$B$82+'Analisis de sensibilidad 2'!$B$83+'Analisis de sensibilidad 2'!$B$85)/5</f>
        <v>26000000</v>
      </c>
      <c r="H118" s="6"/>
      <c r="I118" s="6"/>
      <c r="J118" s="6"/>
      <c r="K118" s="6"/>
      <c r="L118" s="6"/>
      <c r="M118" s="6"/>
    </row>
    <row r="119" spans="1:13" x14ac:dyDescent="0.25">
      <c r="A119" s="29" t="s">
        <v>93</v>
      </c>
      <c r="B119" s="21"/>
      <c r="C119" s="30">
        <f>C116-C117-C118</f>
        <v>-11240000</v>
      </c>
      <c r="D119" s="30">
        <f>D116-D117-D118</f>
        <v>-1316600</v>
      </c>
      <c r="E119" s="30">
        <f>E116-E117-E118</f>
        <v>11918282.5</v>
      </c>
      <c r="F119" s="30">
        <f>F116-F117-F118</f>
        <v>20891915.875</v>
      </c>
      <c r="G119" s="30">
        <f>G116-G117-G118</f>
        <v>28646729.987500012</v>
      </c>
      <c r="H119" s="6"/>
      <c r="I119" s="6"/>
      <c r="J119" s="6"/>
      <c r="K119" s="6"/>
      <c r="L119" s="6"/>
      <c r="M119" s="6"/>
    </row>
    <row r="120" spans="1:13" x14ac:dyDescent="0.25">
      <c r="A120" s="28" t="s">
        <v>94</v>
      </c>
      <c r="B120" s="21"/>
      <c r="C120" s="22">
        <f>IF(C119&gt;0,C119*'Analisis de sensibilidad 2'!$B$101,0)</f>
        <v>0</v>
      </c>
      <c r="D120" s="22">
        <f>IF(D119&gt;0,D119*'Analisis de sensibilidad 2'!$B$101,0)</f>
        <v>0</v>
      </c>
      <c r="E120" s="22">
        <f>IF(E119&gt;0,E119*'Analisis de sensibilidad 2'!$B$101,0)</f>
        <v>4588538.7625000002</v>
      </c>
      <c r="F120" s="22">
        <f>IF(F119&gt;0,F119*'Analisis de sensibilidad 2'!$B$101,0)</f>
        <v>8043387.6118750004</v>
      </c>
      <c r="G120" s="22">
        <f>IF(G119&gt;0,G119*'Analisis de sensibilidad 2'!$B$101,0)</f>
        <v>11028991.045187505</v>
      </c>
      <c r="H120" s="6"/>
      <c r="I120" s="6"/>
      <c r="J120" s="6"/>
      <c r="K120" s="6"/>
      <c r="L120" s="6"/>
      <c r="M120" s="6"/>
    </row>
    <row r="121" spans="1:13" x14ac:dyDescent="0.25">
      <c r="A121" s="29" t="s">
        <v>95</v>
      </c>
      <c r="B121" s="21"/>
      <c r="C121" s="30">
        <f>C119-C120</f>
        <v>-11240000</v>
      </c>
      <c r="D121" s="30">
        <f>D119-D120</f>
        <v>-1316600</v>
      </c>
      <c r="E121" s="30">
        <f>E119-E120</f>
        <v>7329743.7374999998</v>
      </c>
      <c r="F121" s="30">
        <f>F119-F120</f>
        <v>12848528.263124999</v>
      </c>
      <c r="G121" s="30">
        <f>G119-G120</f>
        <v>17617738.942312509</v>
      </c>
      <c r="H121" s="6"/>
      <c r="I121" s="6"/>
      <c r="J121" s="6"/>
      <c r="K121" s="6"/>
      <c r="L121" s="6"/>
      <c r="M121" s="6"/>
    </row>
    <row r="122" spans="1:13" x14ac:dyDescent="0.25">
      <c r="A122" s="28" t="s">
        <v>96</v>
      </c>
      <c r="B122" s="21"/>
      <c r="C122" s="22">
        <f>C118</f>
        <v>26000000</v>
      </c>
      <c r="D122" s="22">
        <f>D118</f>
        <v>26000000</v>
      </c>
      <c r="E122" s="22">
        <f>E118</f>
        <v>26000000</v>
      </c>
      <c r="F122" s="22">
        <f>F118</f>
        <v>26000000</v>
      </c>
      <c r="G122" s="22">
        <f>G118</f>
        <v>26000000</v>
      </c>
      <c r="H122" s="6"/>
      <c r="I122" s="6"/>
      <c r="J122" s="6"/>
      <c r="K122" s="6"/>
      <c r="L122" s="6"/>
      <c r="M122" s="6"/>
    </row>
    <row r="123" spans="1:13" x14ac:dyDescent="0.25">
      <c r="A123" s="29" t="s">
        <v>97</v>
      </c>
      <c r="B123" s="21"/>
      <c r="C123" s="30">
        <f>C122+C121</f>
        <v>14760000</v>
      </c>
      <c r="D123" s="30">
        <f>D122+D121</f>
        <v>24683400</v>
      </c>
      <c r="E123" s="30">
        <f>E122+E121</f>
        <v>33329743.737500001</v>
      </c>
      <c r="F123" s="30">
        <f>F122+F121</f>
        <v>38848528.263125002</v>
      </c>
      <c r="G123" s="30">
        <f>G122+G121</f>
        <v>43617738.942312509</v>
      </c>
      <c r="H123" s="6"/>
      <c r="I123" s="6"/>
      <c r="J123" s="6"/>
      <c r="K123" s="6"/>
      <c r="L123" s="6"/>
      <c r="M123" s="6"/>
    </row>
    <row r="124" spans="1:13" x14ac:dyDescent="0.25">
      <c r="A124" s="28" t="s">
        <v>98</v>
      </c>
      <c r="B124" s="22">
        <f>B79+'Analisis de sensibilidad 2'!B85</f>
        <v>10000000</v>
      </c>
      <c r="C124" s="21"/>
      <c r="D124" s="21"/>
      <c r="E124" s="21"/>
      <c r="F124" s="21"/>
      <c r="G124" s="21"/>
      <c r="H124" s="6"/>
      <c r="I124" s="6"/>
      <c r="J124" s="6"/>
      <c r="K124" s="6"/>
      <c r="L124" s="6"/>
      <c r="M124" s="6"/>
    </row>
    <row r="125" spans="1:13" x14ac:dyDescent="0.25">
      <c r="A125" s="28" t="s">
        <v>99</v>
      </c>
      <c r="B125" s="22">
        <f>'Analisis de sensibilidad 2'!B82+'Analisis de sensibilidad 2'!B83</f>
        <v>120000000</v>
      </c>
      <c r="C125" s="21"/>
      <c r="D125" s="21"/>
      <c r="E125" s="21"/>
      <c r="F125" s="21"/>
      <c r="G125" s="21"/>
      <c r="H125" s="6"/>
      <c r="I125" s="6"/>
      <c r="J125" s="6"/>
      <c r="K125" s="6"/>
      <c r="L125" s="6"/>
      <c r="M125" s="6"/>
    </row>
    <row r="126" spans="1:13" x14ac:dyDescent="0.25">
      <c r="A126" s="28" t="s">
        <v>100</v>
      </c>
      <c r="B126" s="22">
        <f t="shared" ref="B126:G126" si="4">C75</f>
        <v>12526816.666666666</v>
      </c>
      <c r="C126" s="5">
        <f t="shared" si="4"/>
        <v>1307703.333333334</v>
      </c>
      <c r="D126" s="5">
        <f t="shared" si="4"/>
        <v>1341833.5</v>
      </c>
      <c r="E126" s="5">
        <f t="shared" si="4"/>
        <v>1478146.5562499985</v>
      </c>
      <c r="F126" s="5">
        <f t="shared" si="4"/>
        <v>1619258.8387500048</v>
      </c>
      <c r="G126" s="5">
        <f t="shared" si="4"/>
        <v>1920436.06092188</v>
      </c>
      <c r="H126" s="6"/>
      <c r="I126" s="6"/>
      <c r="J126" s="6"/>
      <c r="K126" s="6"/>
      <c r="L126" s="6"/>
      <c r="M126" s="6"/>
    </row>
    <row r="127" spans="1:13" x14ac:dyDescent="0.25">
      <c r="A127" s="28" t="s">
        <v>101</v>
      </c>
      <c r="B127" s="22">
        <v>0</v>
      </c>
      <c r="C127" s="21"/>
      <c r="D127" s="21"/>
      <c r="E127" s="21"/>
      <c r="F127" s="21"/>
      <c r="G127" s="21"/>
      <c r="H127" s="6"/>
      <c r="I127" s="6"/>
      <c r="J127" s="6"/>
      <c r="K127" s="6"/>
      <c r="L127" s="6"/>
      <c r="M127" s="6"/>
    </row>
    <row r="128" spans="1:13" x14ac:dyDescent="0.25">
      <c r="A128" s="28" t="s">
        <v>102</v>
      </c>
      <c r="B128" s="21"/>
      <c r="C128" s="21"/>
      <c r="D128" s="21"/>
      <c r="E128" s="21"/>
      <c r="F128" s="21"/>
      <c r="G128" s="22">
        <f>SUM(B126:G126)</f>
        <v>20194194.955921885</v>
      </c>
      <c r="H128" s="6"/>
      <c r="I128" s="6"/>
      <c r="J128" s="6"/>
      <c r="K128" s="6"/>
      <c r="L128" s="6"/>
      <c r="M128" s="6"/>
    </row>
    <row r="129" spans="1:13" x14ac:dyDescent="0.25">
      <c r="A129" s="29" t="s">
        <v>103</v>
      </c>
      <c r="B129" s="30">
        <f t="shared" ref="B129:G129" si="5">B123-B124-B125-B126-B127+B128</f>
        <v>-142526816.66666666</v>
      </c>
      <c r="C129" s="30">
        <f t="shared" si="5"/>
        <v>13452296.666666666</v>
      </c>
      <c r="D129" s="30">
        <f t="shared" si="5"/>
        <v>23341566.5</v>
      </c>
      <c r="E129" s="30">
        <f t="shared" si="5"/>
        <v>31851597.181250002</v>
      </c>
      <c r="F129" s="30">
        <f t="shared" si="5"/>
        <v>37229269.424374998</v>
      </c>
      <c r="G129" s="30">
        <f t="shared" si="5"/>
        <v>61891497.83731252</v>
      </c>
      <c r="H129" s="19">
        <f>SUM(C129:G129)</f>
        <v>167766227.60960418</v>
      </c>
      <c r="I129" s="6"/>
      <c r="J129" s="6"/>
      <c r="K129" s="6"/>
      <c r="L129" s="6"/>
      <c r="M129" s="6"/>
    </row>
    <row r="130" spans="1:13" x14ac:dyDescent="0.25">
      <c r="A130" s="29" t="s">
        <v>104</v>
      </c>
      <c r="B130" s="30"/>
      <c r="C130" s="30">
        <f>PV($B$135,'Analisis de sensibilidad 2'!C105,,-C129)</f>
        <v>11839361.282363828</v>
      </c>
      <c r="D130" s="30">
        <f>PV($B$135,D105,,-D129)</f>
        <v>18079802.133124013</v>
      </c>
      <c r="E130" s="30">
        <f>PV($B$135,E105,,-E129)</f>
        <v>21713344.651455898</v>
      </c>
      <c r="F130" s="30">
        <f>PV($B$135,F105,,-F129)</f>
        <v>22336332.304045681</v>
      </c>
      <c r="G130" s="30">
        <f>PV($B$135,G105,,-G129)</f>
        <v>32680611.826303657</v>
      </c>
      <c r="H130" s="19">
        <f>SUM(C130:G130)</f>
        <v>106649452.19729307</v>
      </c>
      <c r="I130" s="19">
        <f>H130+B129</f>
        <v>-35877364.469373584</v>
      </c>
      <c r="J130" s="6"/>
      <c r="K130" s="6"/>
      <c r="L130" s="6"/>
      <c r="M130" s="6"/>
    </row>
    <row r="131" spans="1:13" x14ac:dyDescent="0.25">
      <c r="A131" s="9"/>
      <c r="B131" s="21"/>
      <c r="C131" s="21"/>
      <c r="D131" s="21"/>
      <c r="E131" s="21"/>
      <c r="F131" s="21"/>
      <c r="G131" s="21"/>
      <c r="H131" s="6"/>
      <c r="I131" s="6"/>
      <c r="J131" s="6"/>
      <c r="K131" s="6"/>
      <c r="L131" s="6"/>
      <c r="M131" s="6"/>
    </row>
    <row r="132" spans="1:13" x14ac:dyDescent="0.25">
      <c r="A132" s="9"/>
      <c r="B132" s="21"/>
      <c r="C132" s="22"/>
      <c r="D132" s="22"/>
      <c r="E132" s="22"/>
      <c r="F132" s="22"/>
      <c r="G132" s="22"/>
      <c r="H132" s="6"/>
      <c r="I132" s="6"/>
      <c r="J132" s="6"/>
      <c r="K132" s="6"/>
      <c r="L132" s="6"/>
      <c r="M132" s="6"/>
    </row>
    <row r="133" spans="1:13" x14ac:dyDescent="0.25">
      <c r="A133" s="9"/>
      <c r="B133" s="22"/>
      <c r="C133" s="22"/>
      <c r="D133" s="22"/>
      <c r="E133" s="22"/>
      <c r="F133" s="22"/>
      <c r="G133" s="21"/>
      <c r="H133" s="6"/>
      <c r="I133" s="6"/>
      <c r="J133" s="6"/>
      <c r="K133" s="6"/>
      <c r="L133" s="6"/>
      <c r="M133" s="6"/>
    </row>
    <row r="134" spans="1:13" x14ac:dyDescent="0.25">
      <c r="A134" s="9"/>
      <c r="B134" s="21"/>
      <c r="C134" s="21"/>
      <c r="D134" s="21"/>
      <c r="E134" s="21"/>
      <c r="F134" s="21"/>
      <c r="G134" s="21"/>
      <c r="H134" s="6"/>
      <c r="I134" s="6"/>
      <c r="J134" s="6"/>
      <c r="K134" s="6"/>
      <c r="L134" s="6"/>
      <c r="M134" s="6"/>
    </row>
    <row r="135" spans="1:13" x14ac:dyDescent="0.25">
      <c r="A135" s="31" t="s">
        <v>105</v>
      </c>
      <c r="B135" s="32">
        <f>'Analisis de sensibilidad 2'!B95*'Analisis de sensibilidad 2'!B99*(1-'Analisis de sensibilidad 2'!B101)+'Analisis de sensibilidad 2'!B96*'Analisis de sensibilidad 2'!B103</f>
        <v>0.13623499999999999</v>
      </c>
      <c r="C135" s="33"/>
      <c r="D135" s="33"/>
      <c r="E135" s="33"/>
      <c r="F135" s="33"/>
      <c r="G135" s="34"/>
      <c r="H135" s="6"/>
      <c r="I135" s="6"/>
      <c r="J135" s="6"/>
      <c r="K135" s="6"/>
      <c r="L135" s="6"/>
      <c r="M135" s="6"/>
    </row>
    <row r="136" spans="1:13" x14ac:dyDescent="0.25">
      <c r="A136" s="35" t="s">
        <v>106</v>
      </c>
      <c r="B136" s="36">
        <f>NPV(B135,C129:G129)+B129</f>
        <v>-35877364.469373584</v>
      </c>
      <c r="C136" s="11"/>
      <c r="D136" s="11"/>
      <c r="E136" s="11"/>
      <c r="F136" s="11"/>
      <c r="G136" s="37"/>
      <c r="H136" s="6"/>
      <c r="I136" s="6"/>
      <c r="J136" s="6"/>
      <c r="K136" s="6"/>
      <c r="L136" s="6"/>
      <c r="M136" s="6"/>
    </row>
    <row r="137" spans="1:13" x14ac:dyDescent="0.25">
      <c r="A137" s="35" t="s">
        <v>107</v>
      </c>
      <c r="B137" s="38">
        <f>IRR(B129:G129)</f>
        <v>4.6054995494448692E-2</v>
      </c>
      <c r="C137" s="11"/>
      <c r="D137" s="11"/>
      <c r="E137" s="11"/>
      <c r="F137" s="11"/>
      <c r="G137" s="37"/>
      <c r="H137" s="6"/>
      <c r="I137" s="6"/>
      <c r="J137" s="6"/>
      <c r="K137" s="6"/>
      <c r="L137" s="6"/>
      <c r="M137" s="6"/>
    </row>
    <row r="138" spans="1:13" x14ac:dyDescent="0.25">
      <c r="A138" s="35"/>
      <c r="B138" s="39" t="s">
        <v>124</v>
      </c>
      <c r="C138" s="11">
        <v>1</v>
      </c>
      <c r="D138" s="11">
        <v>2</v>
      </c>
      <c r="E138" s="11">
        <v>3</v>
      </c>
      <c r="F138" s="11">
        <v>4</v>
      </c>
      <c r="G138" s="37">
        <v>5</v>
      </c>
      <c r="H138" s="6"/>
      <c r="I138" s="6"/>
      <c r="J138" s="6"/>
      <c r="K138" s="6"/>
      <c r="L138" s="6"/>
      <c r="M138" s="6"/>
    </row>
    <row r="139" spans="1:13" x14ac:dyDescent="0.25">
      <c r="A139" s="35" t="s">
        <v>108</v>
      </c>
      <c r="B139" s="40">
        <f>-B129</f>
        <v>142526816.66666666</v>
      </c>
      <c r="C139" s="40">
        <f>B139*(1+$B$135)-C129</f>
        <v>148491660.86858335</v>
      </c>
      <c r="D139" s="40">
        <f>C139*(1+$B$135)-D129</f>
        <v>145379855.78701481</v>
      </c>
      <c r="E139" s="40">
        <f>D139*(1+$B$135)-E129</f>
        <v>133334083.25890878</v>
      </c>
      <c r="F139" s="40">
        <f>E139*(1+$B$135)-F129</f>
        <v>114269582.66731122</v>
      </c>
      <c r="G139" s="41">
        <f>F139*(1+$B$135)-G129</f>
        <v>67945601.42467986</v>
      </c>
      <c r="H139" s="6"/>
      <c r="I139" s="6"/>
      <c r="J139" s="6"/>
      <c r="K139" s="6"/>
      <c r="L139" s="6"/>
      <c r="M139" s="6"/>
    </row>
    <row r="140" spans="1:13" x14ac:dyDescent="0.25">
      <c r="A140" s="35" t="s">
        <v>109</v>
      </c>
      <c r="B140" s="38">
        <f>MIRR(B129:G129,B135,B135)</f>
        <v>7.2211773414186498E-2</v>
      </c>
      <c r="C140" s="11"/>
      <c r="D140" s="11"/>
      <c r="E140" s="11"/>
      <c r="F140" s="11"/>
      <c r="G140" s="37"/>
      <c r="H140" s="6"/>
      <c r="I140" s="6"/>
      <c r="J140" s="6"/>
      <c r="K140" s="6"/>
      <c r="L140" s="6"/>
      <c r="M140" s="6"/>
    </row>
    <row r="141" spans="1:13" x14ac:dyDescent="0.25">
      <c r="A141" s="35"/>
      <c r="B141" s="38" t="s">
        <v>124</v>
      </c>
      <c r="C141" s="11">
        <v>1</v>
      </c>
      <c r="D141" s="11">
        <v>2</v>
      </c>
      <c r="E141" s="11">
        <v>3</v>
      </c>
      <c r="F141" s="11">
        <v>4</v>
      </c>
      <c r="G141" s="37">
        <v>5</v>
      </c>
      <c r="H141" s="6"/>
      <c r="I141" s="6"/>
      <c r="J141" s="6"/>
      <c r="K141" s="6"/>
      <c r="L141" s="6"/>
      <c r="M141" s="6"/>
    </row>
    <row r="142" spans="1:13" x14ac:dyDescent="0.25">
      <c r="A142" s="35" t="s">
        <v>110</v>
      </c>
      <c r="B142" s="40">
        <f>-B129</f>
        <v>142526816.66666666</v>
      </c>
      <c r="C142" s="40">
        <f>B142-C129</f>
        <v>129074519.99999999</v>
      </c>
      <c r="D142" s="40">
        <f>C142-D129</f>
        <v>105732953.49999999</v>
      </c>
      <c r="E142" s="40">
        <f>D142-E129</f>
        <v>73881356.318749979</v>
      </c>
      <c r="F142" s="40">
        <f>E142-F129</f>
        <v>36652086.894374982</v>
      </c>
      <c r="G142" s="41">
        <f>F142-G129</f>
        <v>-25239410.942937538</v>
      </c>
      <c r="H142" s="6"/>
      <c r="I142" s="6"/>
      <c r="J142" s="6"/>
      <c r="K142" s="6"/>
      <c r="L142" s="6"/>
      <c r="M142" s="6"/>
    </row>
    <row r="143" spans="1:13" x14ac:dyDescent="0.25">
      <c r="A143" s="35" t="s">
        <v>111</v>
      </c>
      <c r="B143" s="42">
        <f>3+(B142-SUM(C129:E129))/F129</f>
        <v>4.9844965389081182</v>
      </c>
      <c r="C143" s="11"/>
      <c r="D143" s="11"/>
      <c r="E143" s="11"/>
      <c r="F143" s="11"/>
      <c r="G143" s="37"/>
      <c r="H143" s="6"/>
      <c r="I143" s="6"/>
      <c r="J143" s="6"/>
      <c r="K143" s="6"/>
      <c r="L143" s="6"/>
      <c r="M143" s="6"/>
    </row>
    <row r="144" spans="1:13" x14ac:dyDescent="0.25">
      <c r="A144" s="35" t="s">
        <v>112</v>
      </c>
      <c r="B144" s="42">
        <f>B143*12</f>
        <v>59.813958466897418</v>
      </c>
      <c r="C144" s="11"/>
      <c r="D144" s="11"/>
      <c r="E144" s="11"/>
      <c r="F144" s="11"/>
      <c r="G144" s="37"/>
      <c r="H144" s="6"/>
      <c r="I144" s="6"/>
      <c r="J144" s="6"/>
      <c r="K144" s="6"/>
      <c r="L144" s="6"/>
      <c r="M144" s="6"/>
    </row>
    <row r="145" spans="1:13" x14ac:dyDescent="0.25">
      <c r="A145" s="35" t="s">
        <v>113</v>
      </c>
      <c r="B145" s="42">
        <f>4+((B139-SUM(C130:F130))/G130)</f>
        <v>6.0978180169961496</v>
      </c>
      <c r="C145" s="11"/>
      <c r="D145" s="11"/>
      <c r="E145" s="11"/>
      <c r="F145" s="11"/>
      <c r="G145" s="37"/>
      <c r="H145" s="6"/>
      <c r="I145" s="6"/>
      <c r="J145" s="6"/>
      <c r="K145" s="6"/>
      <c r="L145" s="6"/>
      <c r="M145" s="6"/>
    </row>
    <row r="146" spans="1:13" x14ac:dyDescent="0.25">
      <c r="A146" s="43" t="s">
        <v>114</v>
      </c>
      <c r="B146" s="44">
        <f>B145*12</f>
        <v>73.173816203953791</v>
      </c>
      <c r="C146" s="12"/>
      <c r="D146" s="12"/>
      <c r="E146" s="12"/>
      <c r="F146" s="12"/>
      <c r="G146" s="45"/>
      <c r="H146" s="6"/>
      <c r="I146" s="6"/>
      <c r="J146" s="6"/>
      <c r="K146" s="6"/>
      <c r="L146" s="6"/>
      <c r="M146" s="6"/>
    </row>
    <row r="147" spans="1:13" ht="18.75" x14ac:dyDescent="0.3">
      <c r="A147" s="3"/>
      <c r="B147" s="4"/>
      <c r="C147" s="3"/>
      <c r="D147" s="3"/>
      <c r="E147" s="3"/>
      <c r="F147" s="3"/>
      <c r="G147" s="3"/>
    </row>
    <row r="148" spans="1:13" ht="18.75" x14ac:dyDescent="0.3">
      <c r="A148" s="3"/>
      <c r="B148" s="4"/>
      <c r="C148" s="3"/>
      <c r="D148" s="3"/>
      <c r="E148" s="3"/>
      <c r="F148" s="3"/>
      <c r="G148" s="3"/>
    </row>
  </sheetData>
  <pageMargins left="0.75" right="0.75" top="1" bottom="1" header="0.5" footer="0.5"/>
  <pageSetup orientation="portrait" horizontalDpi="4294967292" verticalDpi="4294967292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148"/>
  <sheetViews>
    <sheetView topLeftCell="A49" zoomScale="50" zoomScaleNormal="50" workbookViewId="0">
      <selection activeCell="A91" sqref="A91"/>
    </sheetView>
  </sheetViews>
  <sheetFormatPr baseColWidth="10" defaultColWidth="10.875" defaultRowHeight="15.75" x14ac:dyDescent="0.25"/>
  <cols>
    <col min="1" max="1" width="45" style="2" customWidth="1"/>
    <col min="2" max="2" width="24.125" style="1" bestFit="1" customWidth="1"/>
    <col min="3" max="13" width="18.875" style="2" customWidth="1"/>
    <col min="14" max="15" width="10.875" style="2"/>
    <col min="16" max="16" width="14.625" style="2" bestFit="1" customWidth="1"/>
    <col min="17" max="18" width="13.625" style="2" bestFit="1" customWidth="1"/>
    <col min="19" max="20" width="14.625" style="2" bestFit="1" customWidth="1"/>
    <col min="21" max="16384" width="10.875" style="2"/>
  </cols>
  <sheetData>
    <row r="1" spans="1:13" x14ac:dyDescent="0.25">
      <c r="A1" s="17" t="s">
        <v>122</v>
      </c>
      <c r="B1" s="13" t="s">
        <v>62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 x14ac:dyDescent="0.25">
      <c r="A2" s="6" t="s">
        <v>235</v>
      </c>
      <c r="B2" s="13" t="s">
        <v>0</v>
      </c>
      <c r="C2" s="6">
        <v>5</v>
      </c>
      <c r="D2" s="6" t="s">
        <v>1</v>
      </c>
      <c r="E2" s="6" t="s">
        <v>60</v>
      </c>
      <c r="F2" s="6" t="s">
        <v>61</v>
      </c>
      <c r="G2" s="6"/>
      <c r="H2" s="6"/>
      <c r="I2" s="6"/>
      <c r="J2" s="6"/>
      <c r="K2" s="6"/>
      <c r="L2" s="6"/>
      <c r="M2" s="6"/>
    </row>
    <row r="3" spans="1:13" x14ac:dyDescent="0.25">
      <c r="A3" s="6"/>
      <c r="B3" s="13" t="s">
        <v>2</v>
      </c>
      <c r="C3" s="14">
        <f>33400</f>
        <v>33400</v>
      </c>
      <c r="D3" s="6" t="s">
        <v>3</v>
      </c>
      <c r="E3" s="6">
        <f>C3/12</f>
        <v>2783.3333333333335</v>
      </c>
      <c r="F3" s="6">
        <f>E3/30</f>
        <v>92.777777777777786</v>
      </c>
      <c r="G3" s="5">
        <f>E3*C6</f>
        <v>13916666.666666668</v>
      </c>
      <c r="H3" s="6"/>
      <c r="I3" s="6"/>
      <c r="J3" s="6"/>
      <c r="K3" s="6"/>
      <c r="L3" s="6"/>
      <c r="M3" s="6"/>
    </row>
    <row r="4" spans="1:13" x14ac:dyDescent="0.25">
      <c r="A4" s="6"/>
      <c r="B4" s="13" t="s">
        <v>4</v>
      </c>
      <c r="C4" s="14">
        <v>1800</v>
      </c>
      <c r="D4" s="6" t="s">
        <v>3</v>
      </c>
      <c r="E4" s="6">
        <f>C4/12</f>
        <v>150</v>
      </c>
      <c r="F4" s="6">
        <f>E4/12</f>
        <v>12.5</v>
      </c>
      <c r="G4" s="6"/>
      <c r="H4" s="6"/>
      <c r="I4" s="6"/>
      <c r="J4" s="6"/>
      <c r="K4" s="6"/>
      <c r="L4" s="6"/>
      <c r="M4" s="6"/>
    </row>
    <row r="5" spans="1:13" x14ac:dyDescent="0.25">
      <c r="A5" s="6"/>
      <c r="B5" s="13" t="s">
        <v>7</v>
      </c>
      <c r="C5" s="15">
        <v>0.05</v>
      </c>
      <c r="D5" s="15">
        <v>0.04</v>
      </c>
      <c r="E5" s="15">
        <f>AVERAGE(C5:D5)</f>
        <v>4.4999999999999998E-2</v>
      </c>
      <c r="F5" s="15">
        <f>AVERAGE(D5:E5)</f>
        <v>4.2499999999999996E-2</v>
      </c>
      <c r="G5" s="15">
        <f>AVERAGE(E5:F5)</f>
        <v>4.3749999999999997E-2</v>
      </c>
      <c r="H5" s="15">
        <f>AVERAGE(F5:G5)</f>
        <v>4.3124999999999997E-2</v>
      </c>
      <c r="I5" s="15">
        <f>AVERAGE(G5:H5)</f>
        <v>4.3437499999999997E-2</v>
      </c>
      <c r="J5" s="6"/>
      <c r="K5" s="6"/>
      <c r="L5" s="6"/>
      <c r="M5" s="6"/>
    </row>
    <row r="6" spans="1:13" x14ac:dyDescent="0.25">
      <c r="A6" s="6"/>
      <c r="B6" s="13" t="s">
        <v>5</v>
      </c>
      <c r="C6" s="5">
        <v>5000</v>
      </c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x14ac:dyDescent="0.25">
      <c r="A7" s="6"/>
      <c r="B7" s="13" t="s">
        <v>6</v>
      </c>
      <c r="C7" s="5">
        <v>8000</v>
      </c>
      <c r="D7" s="6"/>
      <c r="E7" s="6"/>
      <c r="F7" s="6"/>
      <c r="G7" s="6"/>
      <c r="H7" s="6"/>
      <c r="I7" s="6"/>
      <c r="J7" s="6"/>
      <c r="K7" s="6"/>
      <c r="L7" s="6"/>
      <c r="M7" s="6"/>
    </row>
    <row r="8" spans="1:13" x14ac:dyDescent="0.25">
      <c r="A8" s="6"/>
      <c r="B8" s="13" t="s">
        <v>8</v>
      </c>
      <c r="C8" s="15">
        <v>0.05</v>
      </c>
      <c r="D8" s="6"/>
      <c r="E8" s="6"/>
      <c r="F8" s="6"/>
      <c r="G8" s="6"/>
      <c r="H8" s="6"/>
      <c r="I8" s="6"/>
      <c r="J8" s="6"/>
      <c r="K8" s="6"/>
      <c r="L8" s="6"/>
      <c r="M8" s="6"/>
    </row>
    <row r="9" spans="1:13" x14ac:dyDescent="0.25">
      <c r="A9" s="6"/>
      <c r="B9" s="13" t="s">
        <v>9</v>
      </c>
      <c r="C9" s="6">
        <v>1</v>
      </c>
      <c r="D9" s="6" t="s">
        <v>10</v>
      </c>
      <c r="E9" s="6"/>
      <c r="F9" s="6"/>
      <c r="G9" s="6"/>
      <c r="H9" s="6"/>
      <c r="I9" s="6"/>
      <c r="J9" s="6"/>
      <c r="K9" s="6"/>
      <c r="L9" s="6"/>
      <c r="M9" s="6"/>
    </row>
    <row r="10" spans="1:13" x14ac:dyDescent="0.25">
      <c r="A10" s="6"/>
      <c r="B10" s="13"/>
      <c r="C10" s="6">
        <v>1</v>
      </c>
      <c r="D10" s="6" t="s">
        <v>11</v>
      </c>
      <c r="E10" s="6"/>
      <c r="F10" s="6"/>
      <c r="G10" s="6"/>
      <c r="H10" s="6"/>
      <c r="I10" s="6"/>
      <c r="J10" s="6"/>
      <c r="K10" s="6"/>
      <c r="L10" s="6"/>
      <c r="M10" s="6"/>
    </row>
    <row r="11" spans="1:13" x14ac:dyDescent="0.25">
      <c r="A11" s="6"/>
      <c r="B11" s="13" t="s">
        <v>12</v>
      </c>
      <c r="C11" s="6">
        <v>1</v>
      </c>
      <c r="D11" s="6" t="s">
        <v>10</v>
      </c>
      <c r="E11" s="6"/>
      <c r="F11" s="6"/>
      <c r="G11" s="6"/>
      <c r="H11" s="6"/>
      <c r="I11" s="6"/>
      <c r="J11" s="6"/>
      <c r="K11" s="6"/>
      <c r="L11" s="6"/>
      <c r="M11" s="6"/>
    </row>
    <row r="12" spans="1:13" x14ac:dyDescent="0.25">
      <c r="A12" s="6"/>
      <c r="B12" s="13"/>
      <c r="C12" s="6">
        <v>2</v>
      </c>
      <c r="D12" s="6" t="s">
        <v>11</v>
      </c>
      <c r="E12" s="6"/>
      <c r="F12" s="6"/>
      <c r="G12" s="6"/>
      <c r="H12" s="6"/>
      <c r="I12" s="6"/>
      <c r="J12" s="6"/>
      <c r="K12" s="6"/>
      <c r="L12" s="6"/>
      <c r="M12" s="6"/>
    </row>
    <row r="13" spans="1:13" x14ac:dyDescent="0.25">
      <c r="A13" s="6"/>
      <c r="B13" s="13" t="s">
        <v>13</v>
      </c>
      <c r="C13" s="5">
        <v>500</v>
      </c>
      <c r="D13" s="6"/>
      <c r="E13" s="6"/>
      <c r="F13" s="6"/>
      <c r="G13" s="6"/>
      <c r="H13" s="6"/>
      <c r="I13" s="6"/>
      <c r="J13" s="6"/>
      <c r="K13" s="6"/>
      <c r="L13" s="6"/>
      <c r="M13" s="6"/>
    </row>
    <row r="14" spans="1:13" x14ac:dyDescent="0.25">
      <c r="A14" s="6"/>
      <c r="B14" s="13" t="s">
        <v>14</v>
      </c>
      <c r="C14" s="5">
        <v>800</v>
      </c>
      <c r="D14" s="6"/>
      <c r="E14" s="6"/>
      <c r="F14" s="6"/>
      <c r="G14" s="6"/>
      <c r="H14" s="6"/>
      <c r="I14" s="6"/>
      <c r="J14" s="6"/>
      <c r="K14" s="6"/>
      <c r="L14" s="6"/>
      <c r="M14" s="6"/>
    </row>
    <row r="15" spans="1:13" x14ac:dyDescent="0.25">
      <c r="A15" s="6"/>
      <c r="B15" s="13" t="s">
        <v>15</v>
      </c>
      <c r="C15" s="15">
        <v>0.1</v>
      </c>
      <c r="D15" s="6" t="s">
        <v>16</v>
      </c>
      <c r="E15" s="6"/>
      <c r="F15" s="6"/>
      <c r="G15" s="6"/>
      <c r="H15" s="6"/>
      <c r="I15" s="6"/>
      <c r="J15" s="6"/>
      <c r="K15" s="6"/>
      <c r="L15" s="6"/>
      <c r="M15" s="6"/>
    </row>
    <row r="16" spans="1:13" x14ac:dyDescent="0.25">
      <c r="A16" s="6"/>
      <c r="B16" s="13" t="s">
        <v>17</v>
      </c>
      <c r="C16" s="15">
        <v>0.15</v>
      </c>
      <c r="D16" s="6" t="s">
        <v>16</v>
      </c>
      <c r="E16" s="6"/>
      <c r="F16" s="6"/>
      <c r="G16" s="6"/>
      <c r="H16" s="6"/>
      <c r="I16" s="6"/>
      <c r="J16" s="6"/>
      <c r="K16" s="6"/>
      <c r="L16" s="6"/>
      <c r="M16" s="6"/>
    </row>
    <row r="17" spans="1:13" x14ac:dyDescent="0.25">
      <c r="A17" s="6"/>
      <c r="B17" s="13" t="s">
        <v>18</v>
      </c>
      <c r="C17" s="6">
        <v>5</v>
      </c>
      <c r="D17" s="6" t="s">
        <v>19</v>
      </c>
      <c r="E17" s="6"/>
      <c r="F17" s="6"/>
      <c r="G17" s="6"/>
      <c r="H17" s="6"/>
      <c r="I17" s="6"/>
      <c r="J17" s="6"/>
      <c r="K17" s="6"/>
      <c r="L17" s="6"/>
      <c r="M17" s="6"/>
    </row>
    <row r="18" spans="1:13" x14ac:dyDescent="0.25">
      <c r="A18" s="6"/>
      <c r="B18" s="13" t="s">
        <v>20</v>
      </c>
      <c r="C18" s="6">
        <v>3</v>
      </c>
      <c r="D18" s="6" t="s">
        <v>19</v>
      </c>
      <c r="E18" s="6"/>
      <c r="F18" s="6"/>
      <c r="G18" s="6"/>
      <c r="H18" s="6"/>
      <c r="I18" s="6"/>
      <c r="J18" s="6"/>
      <c r="K18" s="6"/>
      <c r="L18" s="6"/>
      <c r="M18" s="6"/>
    </row>
    <row r="19" spans="1:13" x14ac:dyDescent="0.25">
      <c r="A19" s="6"/>
      <c r="B19" s="13" t="s">
        <v>21</v>
      </c>
      <c r="C19" s="6">
        <v>30</v>
      </c>
      <c r="D19" s="6" t="s">
        <v>19</v>
      </c>
      <c r="E19" s="6"/>
      <c r="F19" s="6"/>
      <c r="G19" s="6"/>
      <c r="H19" s="6"/>
      <c r="I19" s="6"/>
      <c r="J19" s="6"/>
      <c r="K19" s="6"/>
      <c r="L19" s="6"/>
      <c r="M19" s="6"/>
    </row>
    <row r="20" spans="1:13" x14ac:dyDescent="0.25">
      <c r="A20" s="6"/>
      <c r="B20" s="13" t="s">
        <v>22</v>
      </c>
      <c r="C20" s="6">
        <v>30</v>
      </c>
      <c r="D20" s="6" t="s">
        <v>19</v>
      </c>
      <c r="E20" s="6"/>
      <c r="F20" s="6"/>
      <c r="G20" s="6"/>
      <c r="H20" s="6"/>
      <c r="I20" s="6"/>
      <c r="J20" s="6"/>
      <c r="K20" s="6"/>
      <c r="L20" s="6"/>
      <c r="M20" s="6"/>
    </row>
    <row r="21" spans="1:13" x14ac:dyDescent="0.25">
      <c r="A21" s="6"/>
      <c r="B21" s="13" t="s">
        <v>43</v>
      </c>
      <c r="C21" s="15">
        <v>0.12</v>
      </c>
      <c r="D21" s="6"/>
      <c r="E21" s="5"/>
      <c r="F21" s="6"/>
      <c r="G21" s="6"/>
      <c r="H21" s="6"/>
      <c r="I21" s="6"/>
      <c r="J21" s="6"/>
      <c r="K21" s="6"/>
      <c r="L21" s="6"/>
      <c r="M21" s="6"/>
    </row>
    <row r="22" spans="1:13" x14ac:dyDescent="0.25">
      <c r="A22" s="6"/>
      <c r="B22" s="13"/>
      <c r="C22" s="6"/>
      <c r="D22" s="6" t="s">
        <v>123</v>
      </c>
      <c r="E22" s="6"/>
      <c r="F22" s="6"/>
      <c r="G22" s="6"/>
      <c r="H22" s="6"/>
      <c r="I22" s="6"/>
      <c r="J22" s="6"/>
      <c r="K22" s="6"/>
      <c r="L22" s="6"/>
      <c r="M22" s="6"/>
    </row>
    <row r="23" spans="1:13" x14ac:dyDescent="0.25">
      <c r="A23" s="6"/>
      <c r="B23" s="16" t="s">
        <v>23</v>
      </c>
      <c r="C23" s="17">
        <v>0</v>
      </c>
      <c r="D23" s="17">
        <v>1</v>
      </c>
      <c r="E23" s="17">
        <v>2</v>
      </c>
      <c r="F23" s="17">
        <v>3</v>
      </c>
      <c r="G23" s="17">
        <v>4</v>
      </c>
      <c r="H23" s="17">
        <v>5</v>
      </c>
    </row>
    <row r="24" spans="1:13" x14ac:dyDescent="0.25">
      <c r="A24" s="6"/>
      <c r="B24" s="13" t="s">
        <v>24</v>
      </c>
      <c r="C24" s="6"/>
      <c r="D24" s="14">
        <f>C3</f>
        <v>33400</v>
      </c>
      <c r="E24" s="14">
        <f t="shared" ref="E24:H25" si="0">ROUND(D24*(1+$E$5),0)</f>
        <v>34903</v>
      </c>
      <c r="F24" s="14">
        <f t="shared" si="0"/>
        <v>36474</v>
      </c>
      <c r="G24" s="14">
        <f t="shared" si="0"/>
        <v>38115</v>
      </c>
      <c r="H24" s="14">
        <f t="shared" si="0"/>
        <v>39830</v>
      </c>
    </row>
    <row r="25" spans="1:13" x14ac:dyDescent="0.25">
      <c r="A25" s="6"/>
      <c r="B25" s="13" t="s">
        <v>25</v>
      </c>
      <c r="C25" s="6"/>
      <c r="D25" s="14">
        <f>C4</f>
        <v>1800</v>
      </c>
      <c r="E25" s="14">
        <f t="shared" si="0"/>
        <v>1881</v>
      </c>
      <c r="F25" s="14">
        <f t="shared" si="0"/>
        <v>1966</v>
      </c>
      <c r="G25" s="14">
        <f t="shared" si="0"/>
        <v>2054</v>
      </c>
      <c r="H25" s="14">
        <f t="shared" si="0"/>
        <v>2146</v>
      </c>
    </row>
    <row r="26" spans="1:13" x14ac:dyDescent="0.25">
      <c r="A26" s="6"/>
      <c r="B26" s="13" t="s">
        <v>5</v>
      </c>
      <c r="C26" s="6"/>
      <c r="D26" s="5">
        <f>C6</f>
        <v>5000</v>
      </c>
      <c r="E26" s="5">
        <f t="shared" ref="E26:H27" si="1">D26*(1+$C$8)</f>
        <v>5250</v>
      </c>
      <c r="F26" s="5">
        <f t="shared" si="1"/>
        <v>5512.5</v>
      </c>
      <c r="G26" s="5">
        <f t="shared" si="1"/>
        <v>5788.125</v>
      </c>
      <c r="H26" s="5">
        <f t="shared" si="1"/>
        <v>6077.53125</v>
      </c>
    </row>
    <row r="27" spans="1:13" x14ac:dyDescent="0.25">
      <c r="A27" s="6"/>
      <c r="B27" s="13" t="s">
        <v>6</v>
      </c>
      <c r="C27" s="6"/>
      <c r="D27" s="5">
        <f>C7</f>
        <v>8000</v>
      </c>
      <c r="E27" s="5">
        <f t="shared" si="1"/>
        <v>8400</v>
      </c>
      <c r="F27" s="5">
        <f t="shared" si="1"/>
        <v>8820</v>
      </c>
      <c r="G27" s="5">
        <f t="shared" si="1"/>
        <v>9261</v>
      </c>
      <c r="H27" s="5">
        <f t="shared" si="1"/>
        <v>9724.0500000000011</v>
      </c>
    </row>
    <row r="28" spans="1:13" x14ac:dyDescent="0.25">
      <c r="A28" s="6"/>
      <c r="B28" s="13" t="s">
        <v>26</v>
      </c>
      <c r="C28" s="6"/>
      <c r="D28" s="5">
        <f>SUMPRODUCT(D24:D25,D26:D27)</f>
        <v>181400000</v>
      </c>
      <c r="E28" s="5">
        <f>SUMPRODUCT(E24:E25,E26:E27)</f>
        <v>199041150</v>
      </c>
      <c r="F28" s="5">
        <f>SUMPRODUCT(F24:F25,F26:F27)</f>
        <v>218403045</v>
      </c>
      <c r="G28" s="5">
        <f>SUMPRODUCT(G24:G25,G26:G27)</f>
        <v>239636478.375</v>
      </c>
      <c r="H28" s="5">
        <f>SUMPRODUCT(H24:H25,H26:H27)</f>
        <v>262935880.98750001</v>
      </c>
    </row>
    <row r="29" spans="1:13" x14ac:dyDescent="0.25">
      <c r="A29" s="6"/>
      <c r="B29" s="13" t="s">
        <v>27</v>
      </c>
      <c r="C29" s="6"/>
      <c r="D29" s="5">
        <f>(D28/360)*$C$19</f>
        <v>15116666.666666666</v>
      </c>
      <c r="E29" s="5">
        <f>(E28/360)*$C$19</f>
        <v>16586762.500000002</v>
      </c>
      <c r="F29" s="5">
        <f>(F28/360)*$C$19</f>
        <v>18200253.75</v>
      </c>
      <c r="G29" s="5">
        <f>(G28/360)*$C$19</f>
        <v>19969706.53125</v>
      </c>
      <c r="H29" s="5">
        <f>(H28/360)*$C$19</f>
        <v>21911323.415625002</v>
      </c>
    </row>
    <row r="30" spans="1:13" x14ac:dyDescent="0.25">
      <c r="A30" s="6"/>
      <c r="B30" s="13"/>
      <c r="C30" s="6"/>
      <c r="D30" s="6"/>
      <c r="E30" s="6"/>
      <c r="F30" s="6"/>
      <c r="G30" s="6"/>
      <c r="H30" s="6"/>
    </row>
    <row r="31" spans="1:13" x14ac:dyDescent="0.25">
      <c r="A31" s="6"/>
      <c r="B31" s="13" t="s">
        <v>30</v>
      </c>
      <c r="C31" s="6"/>
      <c r="D31" s="6">
        <f>ROUND((D32/360)*$C$18,0)</f>
        <v>278</v>
      </c>
      <c r="E31" s="6">
        <f>ROUND((E32/360)*$C$18,0)</f>
        <v>291</v>
      </c>
      <c r="F31" s="6">
        <f>ROUND((F32/360)*$C$18,0)</f>
        <v>304</v>
      </c>
      <c r="G31" s="6">
        <f>ROUND((G32/360)*$C$18,0)</f>
        <v>318</v>
      </c>
      <c r="H31" s="6">
        <f>ROUND((H32/360)*$C$18,0)</f>
        <v>332</v>
      </c>
    </row>
    <row r="32" spans="1:13" x14ac:dyDescent="0.25">
      <c r="A32" s="6"/>
      <c r="B32" s="18" t="s">
        <v>28</v>
      </c>
      <c r="C32" s="6"/>
      <c r="D32" s="14">
        <f>D24</f>
        <v>33400</v>
      </c>
      <c r="E32" s="14">
        <f>E24</f>
        <v>34903</v>
      </c>
      <c r="F32" s="14">
        <f>F24</f>
        <v>36474</v>
      </c>
      <c r="G32" s="14">
        <f>G24</f>
        <v>38115</v>
      </c>
      <c r="H32" s="14">
        <f>H24</f>
        <v>39830</v>
      </c>
    </row>
    <row r="33" spans="1:8" x14ac:dyDescent="0.25">
      <c r="A33" s="6"/>
      <c r="B33" s="18" t="s">
        <v>29</v>
      </c>
      <c r="C33" s="6"/>
      <c r="D33" s="6">
        <v>0</v>
      </c>
      <c r="E33" s="6">
        <f>D31</f>
        <v>278</v>
      </c>
      <c r="F33" s="6">
        <f>E31</f>
        <v>291</v>
      </c>
      <c r="G33" s="6">
        <f>F31</f>
        <v>304</v>
      </c>
      <c r="H33" s="6">
        <f>G31</f>
        <v>318</v>
      </c>
    </row>
    <row r="34" spans="1:8" x14ac:dyDescent="0.25">
      <c r="A34" s="6"/>
      <c r="B34" s="18" t="s">
        <v>31</v>
      </c>
      <c r="C34" s="6"/>
      <c r="D34" s="14">
        <f>D31+D32-D33</f>
        <v>33678</v>
      </c>
      <c r="E34" s="14">
        <f>E31+E32-E33</f>
        <v>34916</v>
      </c>
      <c r="F34" s="14">
        <f>F31+F32-F33</f>
        <v>36487</v>
      </c>
      <c r="G34" s="14">
        <f>G31+G32-G33</f>
        <v>38129</v>
      </c>
      <c r="H34" s="14">
        <f>H31+H32-H33</f>
        <v>39844</v>
      </c>
    </row>
    <row r="35" spans="1:8" x14ac:dyDescent="0.25">
      <c r="A35" s="6"/>
      <c r="B35" s="13"/>
      <c r="C35" s="6"/>
      <c r="D35" s="6"/>
      <c r="E35" s="6"/>
      <c r="F35" s="6"/>
      <c r="G35" s="6"/>
      <c r="H35" s="6"/>
    </row>
    <row r="36" spans="1:8" x14ac:dyDescent="0.25">
      <c r="A36" s="6"/>
      <c r="B36" s="13" t="s">
        <v>32</v>
      </c>
      <c r="C36" s="6"/>
      <c r="D36" s="6">
        <f>ROUND((D37/360)*$C$18,0)</f>
        <v>15</v>
      </c>
      <c r="E36" s="6">
        <f>ROUND((E37/360)*$C$18,0)</f>
        <v>16</v>
      </c>
      <c r="F36" s="6">
        <f>ROUND((F37/360)*$C$18,0)</f>
        <v>16</v>
      </c>
      <c r="G36" s="6">
        <f>ROUND((G37/360)*$C$18,0)</f>
        <v>17</v>
      </c>
      <c r="H36" s="6">
        <f>ROUND((H37/360)*$C$18,0)</f>
        <v>18</v>
      </c>
    </row>
    <row r="37" spans="1:8" x14ac:dyDescent="0.25">
      <c r="A37" s="6"/>
      <c r="B37" s="18" t="s">
        <v>28</v>
      </c>
      <c r="C37" s="6"/>
      <c r="D37" s="14">
        <f>D25</f>
        <v>1800</v>
      </c>
      <c r="E37" s="14">
        <f>E25</f>
        <v>1881</v>
      </c>
      <c r="F37" s="14">
        <f>F25</f>
        <v>1966</v>
      </c>
      <c r="G37" s="14">
        <f>G25</f>
        <v>2054</v>
      </c>
      <c r="H37" s="14">
        <f>H25</f>
        <v>2146</v>
      </c>
    </row>
    <row r="38" spans="1:8" x14ac:dyDescent="0.25">
      <c r="A38" s="6"/>
      <c r="B38" s="18" t="s">
        <v>33</v>
      </c>
      <c r="C38" s="6"/>
      <c r="D38" s="6">
        <v>0</v>
      </c>
      <c r="E38" s="6">
        <f>D36</f>
        <v>15</v>
      </c>
      <c r="F38" s="6">
        <f>E36</f>
        <v>16</v>
      </c>
      <c r="G38" s="6">
        <f>F36</f>
        <v>16</v>
      </c>
      <c r="H38" s="6">
        <f>G36</f>
        <v>17</v>
      </c>
    </row>
    <row r="39" spans="1:8" x14ac:dyDescent="0.25">
      <c r="A39" s="6"/>
      <c r="B39" s="18" t="s">
        <v>34</v>
      </c>
      <c r="C39" s="6"/>
      <c r="D39" s="14">
        <f>D36+D37-D38</f>
        <v>1815</v>
      </c>
      <c r="E39" s="14">
        <f>E36+E37-E38</f>
        <v>1882</v>
      </c>
      <c r="F39" s="14">
        <f>F36+F37-F38</f>
        <v>1966</v>
      </c>
      <c r="G39" s="14">
        <f>G36+G37-G38</f>
        <v>2055</v>
      </c>
      <c r="H39" s="14">
        <f>H36+H37-H38</f>
        <v>2147</v>
      </c>
    </row>
    <row r="40" spans="1:8" x14ac:dyDescent="0.25">
      <c r="A40" s="6"/>
      <c r="B40" s="13"/>
      <c r="C40" s="6"/>
      <c r="D40" s="6"/>
      <c r="E40" s="6"/>
      <c r="F40" s="6"/>
      <c r="G40" s="6"/>
      <c r="H40" s="6"/>
    </row>
    <row r="41" spans="1:8" x14ac:dyDescent="0.25">
      <c r="A41" s="6"/>
      <c r="B41" s="13" t="s">
        <v>35</v>
      </c>
      <c r="C41" s="6"/>
      <c r="D41" s="14">
        <f>ROUND((D42/360)*$C$17,0)</f>
        <v>493</v>
      </c>
      <c r="E41" s="14">
        <f>ROUND((E42/360)*$C$17,0)</f>
        <v>511</v>
      </c>
      <c r="F41" s="14">
        <f>ROUND((F42/360)*$C$17,0)</f>
        <v>534</v>
      </c>
      <c r="G41" s="14">
        <f>ROUND((G42/360)*$C$17,0)</f>
        <v>558</v>
      </c>
      <c r="H41" s="14">
        <f>ROUND((H42/360)*$C$17,0)</f>
        <v>583</v>
      </c>
    </row>
    <row r="42" spans="1:8" x14ac:dyDescent="0.25">
      <c r="A42" s="6"/>
      <c r="B42" s="18" t="s">
        <v>36</v>
      </c>
      <c r="C42" s="6"/>
      <c r="D42" s="14">
        <f>(D34*$C$9+D39*$C$11)</f>
        <v>35493</v>
      </c>
      <c r="E42" s="14">
        <f>(E34*$C$9+E39*$C$11)</f>
        <v>36798</v>
      </c>
      <c r="F42" s="14">
        <f>(F34*$C$9+F39*$C$11)</f>
        <v>38453</v>
      </c>
      <c r="G42" s="14">
        <f>(G34*$C$9+G39*$C$11)</f>
        <v>40184</v>
      </c>
      <c r="H42" s="14">
        <f>(H34*$C$9+H39*$C$11)</f>
        <v>41991</v>
      </c>
    </row>
    <row r="43" spans="1:8" x14ac:dyDescent="0.25">
      <c r="A43" s="6"/>
      <c r="B43" s="18" t="s">
        <v>37</v>
      </c>
      <c r="C43" s="6"/>
      <c r="D43" s="6">
        <v>0</v>
      </c>
      <c r="E43" s="14">
        <f>D41</f>
        <v>493</v>
      </c>
      <c r="F43" s="14">
        <f>E41</f>
        <v>511</v>
      </c>
      <c r="G43" s="14">
        <f>F41</f>
        <v>534</v>
      </c>
      <c r="H43" s="14">
        <f>G41</f>
        <v>558</v>
      </c>
    </row>
    <row r="44" spans="1:8" x14ac:dyDescent="0.25">
      <c r="A44" s="6"/>
      <c r="B44" s="18" t="s">
        <v>38</v>
      </c>
      <c r="C44" s="6"/>
      <c r="D44" s="14">
        <f>D41+D42-D43</f>
        <v>35986</v>
      </c>
      <c r="E44" s="14">
        <f>E41+E42-E43</f>
        <v>36816</v>
      </c>
      <c r="F44" s="14">
        <f>F41+F42-F43</f>
        <v>38476</v>
      </c>
      <c r="G44" s="14">
        <f>G41+G42-G43</f>
        <v>40208</v>
      </c>
      <c r="H44" s="14">
        <f>H41+H42-H43</f>
        <v>42016</v>
      </c>
    </row>
    <row r="45" spans="1:8" x14ac:dyDescent="0.25">
      <c r="A45" s="6"/>
      <c r="B45" s="13"/>
      <c r="C45" s="6"/>
      <c r="D45" s="6"/>
      <c r="E45" s="6"/>
      <c r="F45" s="6"/>
      <c r="G45" s="6"/>
      <c r="H45" s="6"/>
    </row>
    <row r="46" spans="1:8" x14ac:dyDescent="0.25">
      <c r="A46" s="6"/>
      <c r="B46" s="13" t="s">
        <v>39</v>
      </c>
      <c r="C46" s="6"/>
      <c r="D46" s="14">
        <f>ROUND((D47/360)*$C$17,0)</f>
        <v>518</v>
      </c>
      <c r="E46" s="14">
        <f>ROUND((E47/360)*$C$17,0)</f>
        <v>537</v>
      </c>
      <c r="F46" s="14">
        <f>ROUND((F47/360)*$C$17,0)</f>
        <v>561</v>
      </c>
      <c r="G46" s="14">
        <f>ROUND((G47/360)*$C$17,0)</f>
        <v>587</v>
      </c>
      <c r="H46" s="14">
        <f>ROUND((H47/360)*$C$17,0)</f>
        <v>613</v>
      </c>
    </row>
    <row r="47" spans="1:8" x14ac:dyDescent="0.25">
      <c r="A47" s="6"/>
      <c r="B47" s="18" t="s">
        <v>40</v>
      </c>
      <c r="C47" s="6"/>
      <c r="D47" s="14">
        <f>(D34*$C$10+D39*$C$12)</f>
        <v>37308</v>
      </c>
      <c r="E47" s="14">
        <f>(E34*$C$10+E39*$C$12)</f>
        <v>38680</v>
      </c>
      <c r="F47" s="14">
        <f>(F34*$C$10+F39*$C$12)</f>
        <v>40419</v>
      </c>
      <c r="G47" s="14">
        <f>(G34*$C$10+G39*$C$12)</f>
        <v>42239</v>
      </c>
      <c r="H47" s="14">
        <f>(H34*$C$10+H39*$C$12)</f>
        <v>44138</v>
      </c>
    </row>
    <row r="48" spans="1:8" x14ac:dyDescent="0.25">
      <c r="A48" s="6"/>
      <c r="B48" s="18" t="s">
        <v>41</v>
      </c>
      <c r="C48" s="6"/>
      <c r="D48" s="6">
        <v>0</v>
      </c>
      <c r="E48" s="14">
        <f>D46</f>
        <v>518</v>
      </c>
      <c r="F48" s="14">
        <f>E46</f>
        <v>537</v>
      </c>
      <c r="G48" s="14">
        <f>F46</f>
        <v>561</v>
      </c>
      <c r="H48" s="14">
        <f>G46</f>
        <v>587</v>
      </c>
    </row>
    <row r="49" spans="1:8" x14ac:dyDescent="0.25">
      <c r="A49" s="6"/>
      <c r="B49" s="18" t="s">
        <v>42</v>
      </c>
      <c r="C49" s="6"/>
      <c r="D49" s="14">
        <f>D46+D47-D48</f>
        <v>37826</v>
      </c>
      <c r="E49" s="14">
        <f>E46+E47-E48</f>
        <v>38699</v>
      </c>
      <c r="F49" s="14">
        <f>F46+F47-F48</f>
        <v>40443</v>
      </c>
      <c r="G49" s="14">
        <f>G46+G47-G48</f>
        <v>42265</v>
      </c>
      <c r="H49" s="14">
        <f>H46+H47-H48</f>
        <v>44164</v>
      </c>
    </row>
    <row r="50" spans="1:8" x14ac:dyDescent="0.25">
      <c r="A50" s="6"/>
      <c r="B50" s="13"/>
      <c r="C50" s="6"/>
      <c r="D50" s="6"/>
      <c r="E50" s="6"/>
      <c r="F50" s="6"/>
      <c r="G50" s="6"/>
      <c r="H50" s="6"/>
    </row>
    <row r="51" spans="1:8" x14ac:dyDescent="0.25">
      <c r="A51" s="6"/>
      <c r="B51" s="13" t="s">
        <v>13</v>
      </c>
      <c r="C51" s="6"/>
      <c r="D51" s="5">
        <f>C13</f>
        <v>500</v>
      </c>
      <c r="E51" s="5">
        <f t="shared" ref="E51:H52" si="2">D51*(1+$C$21)</f>
        <v>560</v>
      </c>
      <c r="F51" s="5">
        <f t="shared" si="2"/>
        <v>627.20000000000005</v>
      </c>
      <c r="G51" s="5">
        <f t="shared" si="2"/>
        <v>702.46400000000017</v>
      </c>
      <c r="H51" s="5">
        <f t="shared" si="2"/>
        <v>786.75968000000023</v>
      </c>
    </row>
    <row r="52" spans="1:8" x14ac:dyDescent="0.25">
      <c r="A52" s="6"/>
      <c r="B52" s="13" t="s">
        <v>14</v>
      </c>
      <c r="C52" s="6"/>
      <c r="D52" s="5">
        <f>C14</f>
        <v>800</v>
      </c>
      <c r="E52" s="5">
        <f t="shared" si="2"/>
        <v>896.00000000000011</v>
      </c>
      <c r="F52" s="5">
        <f t="shared" si="2"/>
        <v>1003.5200000000002</v>
      </c>
      <c r="G52" s="5">
        <f t="shared" si="2"/>
        <v>1123.9424000000004</v>
      </c>
      <c r="H52" s="5">
        <f t="shared" si="2"/>
        <v>1258.8154880000004</v>
      </c>
    </row>
    <row r="53" spans="1:8" x14ac:dyDescent="0.25">
      <c r="A53" s="6"/>
      <c r="B53" s="13"/>
      <c r="C53" s="6"/>
      <c r="D53" s="6"/>
      <c r="E53" s="6"/>
      <c r="F53" s="6"/>
      <c r="G53" s="6"/>
      <c r="H53" s="6"/>
    </row>
    <row r="54" spans="1:8" x14ac:dyDescent="0.25">
      <c r="A54" s="6"/>
      <c r="B54" s="13" t="s">
        <v>44</v>
      </c>
      <c r="C54" s="6"/>
      <c r="D54" s="5">
        <f>D51*$C$9+D52*$C$10</f>
        <v>1300</v>
      </c>
      <c r="E54" s="5">
        <f>E51*$C$9+E52*$C$10</f>
        <v>1456</v>
      </c>
      <c r="F54" s="5">
        <f>F51*$C$9+F52*$C$10</f>
        <v>1630.7200000000003</v>
      </c>
      <c r="G54" s="5">
        <f>G51*$C$9+G52*$C$10</f>
        <v>1826.4064000000005</v>
      </c>
      <c r="H54" s="5">
        <f>H51*$C$9+H52*$C$10</f>
        <v>2045.5751680000008</v>
      </c>
    </row>
    <row r="55" spans="1:8" x14ac:dyDescent="0.25">
      <c r="A55" s="6"/>
      <c r="B55" s="13" t="s">
        <v>45</v>
      </c>
      <c r="C55" s="6"/>
      <c r="D55" s="5">
        <f>D26*$C$15</f>
        <v>500</v>
      </c>
      <c r="E55" s="5">
        <f>E26*$C$15</f>
        <v>525</v>
      </c>
      <c r="F55" s="5">
        <f>F26*$C$15</f>
        <v>551.25</v>
      </c>
      <c r="G55" s="5">
        <f>G26*$C$15</f>
        <v>578.8125</v>
      </c>
      <c r="H55" s="5">
        <f>H26*$C$15</f>
        <v>607.75312500000007</v>
      </c>
    </row>
    <row r="56" spans="1:8" x14ac:dyDescent="0.25">
      <c r="A56" s="6"/>
      <c r="B56" s="13" t="s">
        <v>46</v>
      </c>
      <c r="C56" s="6"/>
      <c r="D56" s="5">
        <f>D26*$C$16</f>
        <v>750</v>
      </c>
      <c r="E56" s="5">
        <f>E26*$C$16</f>
        <v>787.5</v>
      </c>
      <c r="F56" s="5">
        <f>F26*$C$16</f>
        <v>826.875</v>
      </c>
      <c r="G56" s="5">
        <f>G26*$C$16</f>
        <v>868.21875</v>
      </c>
      <c r="H56" s="5">
        <f>H26*$C$16</f>
        <v>911.62968749999993</v>
      </c>
    </row>
    <row r="57" spans="1:8" x14ac:dyDescent="0.25">
      <c r="A57" s="6"/>
      <c r="B57" s="13" t="s">
        <v>47</v>
      </c>
      <c r="C57" s="6"/>
      <c r="D57" s="5">
        <f>SUM(D54:D56)</f>
        <v>2550</v>
      </c>
      <c r="E57" s="5">
        <f>SUM(E54:E56)</f>
        <v>2768.5</v>
      </c>
      <c r="F57" s="5">
        <f>SUM(F54:F56)</f>
        <v>3008.8450000000003</v>
      </c>
      <c r="G57" s="5">
        <f>SUM(G54:G56)</f>
        <v>3273.4376500000008</v>
      </c>
      <c r="H57" s="5">
        <f>SUM(H54:H56)</f>
        <v>3564.9579805000008</v>
      </c>
    </row>
    <row r="58" spans="1:8" x14ac:dyDescent="0.25">
      <c r="A58" s="6"/>
      <c r="B58" s="13"/>
      <c r="C58" s="6"/>
      <c r="D58" s="6"/>
      <c r="E58" s="6"/>
      <c r="F58" s="6"/>
      <c r="G58" s="6"/>
      <c r="H58" s="6"/>
    </row>
    <row r="59" spans="1:8" x14ac:dyDescent="0.25">
      <c r="A59" s="6"/>
      <c r="B59" s="13" t="s">
        <v>48</v>
      </c>
      <c r="C59" s="6"/>
      <c r="D59" s="5">
        <f>D51*$C$11+D52*$C$12</f>
        <v>2100</v>
      </c>
      <c r="E59" s="5">
        <f>E51*$C$11+E52*$C$12</f>
        <v>2352</v>
      </c>
      <c r="F59" s="5">
        <f>F51*$C$11+F52*$C$12</f>
        <v>2634.2400000000007</v>
      </c>
      <c r="G59" s="5">
        <f>G51*$C$11+G52*$C$12</f>
        <v>2950.3488000000007</v>
      </c>
      <c r="H59" s="5">
        <f>H51*$C$11+H52*$C$12</f>
        <v>3304.3906560000009</v>
      </c>
    </row>
    <row r="60" spans="1:8" x14ac:dyDescent="0.25">
      <c r="A60" s="6"/>
      <c r="B60" s="13" t="s">
        <v>49</v>
      </c>
      <c r="C60" s="6"/>
      <c r="D60" s="5">
        <f>D27*$C$15</f>
        <v>800</v>
      </c>
      <c r="E60" s="5">
        <f>E27*$C$15</f>
        <v>840</v>
      </c>
      <c r="F60" s="5">
        <f>F27*$C$15</f>
        <v>882</v>
      </c>
      <c r="G60" s="5">
        <f>G27*$C$15</f>
        <v>926.1</v>
      </c>
      <c r="H60" s="5">
        <f>H27*$C$15</f>
        <v>972.4050000000002</v>
      </c>
    </row>
    <row r="61" spans="1:8" x14ac:dyDescent="0.25">
      <c r="A61" s="6"/>
      <c r="B61" s="13" t="s">
        <v>50</v>
      </c>
      <c r="C61" s="6"/>
      <c r="D61" s="5">
        <f>D27*$C$16</f>
        <v>1200</v>
      </c>
      <c r="E61" s="5">
        <f>E27*$C$16</f>
        <v>1260</v>
      </c>
      <c r="F61" s="5">
        <f>F27*$C$16</f>
        <v>1323</v>
      </c>
      <c r="G61" s="5">
        <f>G27*$C$16</f>
        <v>1389.1499999999999</v>
      </c>
      <c r="H61" s="5">
        <f>H27*$C$16</f>
        <v>1458.6075000000001</v>
      </c>
    </row>
    <row r="62" spans="1:8" x14ac:dyDescent="0.25">
      <c r="A62" s="6"/>
      <c r="B62" s="13" t="s">
        <v>51</v>
      </c>
      <c r="C62" s="6"/>
      <c r="D62" s="5">
        <f>SUM(D59:D61)</f>
        <v>4100</v>
      </c>
      <c r="E62" s="5">
        <f>SUM(E59:E61)</f>
        <v>4452</v>
      </c>
      <c r="F62" s="5">
        <f>SUM(F59:F61)</f>
        <v>4839.2400000000007</v>
      </c>
      <c r="G62" s="5">
        <f>SUM(G59:G61)</f>
        <v>5265.5988000000007</v>
      </c>
      <c r="H62" s="5">
        <f>SUM(H59:H61)</f>
        <v>5735.4031560000012</v>
      </c>
    </row>
    <row r="63" spans="1:8" x14ac:dyDescent="0.25">
      <c r="A63" s="6"/>
      <c r="B63" s="13"/>
      <c r="C63" s="6"/>
      <c r="D63" s="6"/>
      <c r="E63" s="6"/>
      <c r="F63" s="6"/>
      <c r="G63" s="6"/>
      <c r="H63" s="6"/>
    </row>
    <row r="64" spans="1:8" x14ac:dyDescent="0.25">
      <c r="A64" s="6"/>
      <c r="B64" s="13" t="s">
        <v>52</v>
      </c>
      <c r="C64" s="6"/>
      <c r="D64" s="5">
        <f>D31*D57+D36*D62</f>
        <v>770400</v>
      </c>
      <c r="E64" s="5">
        <f>E31*E57+E36*E62</f>
        <v>876865.5</v>
      </c>
      <c r="F64" s="5">
        <f>F31*F57+F36*F62</f>
        <v>992116.72000000009</v>
      </c>
      <c r="G64" s="5">
        <f>G31*G57+G36*G62</f>
        <v>1130468.3523000001</v>
      </c>
      <c r="H64" s="5">
        <f>H31*H57+H36*H62</f>
        <v>1286803.3063340001</v>
      </c>
    </row>
    <row r="65" spans="1:13" x14ac:dyDescent="0.25">
      <c r="A65" s="6"/>
      <c r="B65" s="13" t="s">
        <v>53</v>
      </c>
      <c r="C65" s="6"/>
      <c r="D65" s="5">
        <f>D51*D41+D52*D46</f>
        <v>660900</v>
      </c>
      <c r="E65" s="5">
        <f>E51*E41+E52*E46</f>
        <v>767312</v>
      </c>
      <c r="F65" s="5">
        <f>F51*F41+F52*F46</f>
        <v>897899.52000000014</v>
      </c>
      <c r="G65" s="5">
        <f>G51*G41+G52*G46</f>
        <v>1051729.1008000004</v>
      </c>
      <c r="H65" s="5">
        <f>H51*H41+H52*H46</f>
        <v>1230334.7875840003</v>
      </c>
    </row>
    <row r="66" spans="1:13" x14ac:dyDescent="0.25">
      <c r="A66" s="6"/>
      <c r="B66" s="13" t="s">
        <v>54</v>
      </c>
      <c r="C66" s="6"/>
      <c r="D66" s="5">
        <f>D44*D51+D49*D52</f>
        <v>48253800</v>
      </c>
      <c r="E66" s="5">
        <f>E44*E51+E49*E52</f>
        <v>55291264.000000007</v>
      </c>
      <c r="F66" s="5">
        <f>F44*F51+F49*F52</f>
        <v>64717506.56000001</v>
      </c>
      <c r="G66" s="5">
        <f>G44*G51+G49*G52</f>
        <v>75748098.048000023</v>
      </c>
      <c r="H66" s="5">
        <f>H44*H51+H49*H52</f>
        <v>88650821.926912025</v>
      </c>
    </row>
    <row r="67" spans="1:13" x14ac:dyDescent="0.25">
      <c r="A67" s="6"/>
      <c r="B67" s="13" t="s">
        <v>55</v>
      </c>
      <c r="C67" s="6"/>
      <c r="D67" s="5">
        <f>(D66/360)*$C$20</f>
        <v>4021150.0000000005</v>
      </c>
      <c r="E67" s="5">
        <f>(E66/360)*$C$20</f>
        <v>4607605.333333334</v>
      </c>
      <c r="F67" s="5">
        <f>(F66/360)*$C$20</f>
        <v>5393125.5466666678</v>
      </c>
      <c r="G67" s="5">
        <f>(G66/360)*$C$20</f>
        <v>6312341.5040000025</v>
      </c>
      <c r="H67" s="5">
        <f>(H66/360)*$C$20</f>
        <v>7387568.4939093348</v>
      </c>
    </row>
    <row r="68" spans="1:13" x14ac:dyDescent="0.25">
      <c r="A68" s="6"/>
      <c r="B68" s="13"/>
      <c r="C68" s="6"/>
      <c r="D68" s="6"/>
      <c r="E68" s="6"/>
      <c r="F68" s="6"/>
      <c r="G68" s="6"/>
      <c r="H68" s="6"/>
    </row>
    <row r="69" spans="1:13" x14ac:dyDescent="0.25">
      <c r="A69" s="6"/>
      <c r="B69" s="16" t="s">
        <v>56</v>
      </c>
      <c r="C69" s="17">
        <v>0</v>
      </c>
      <c r="D69" s="17">
        <v>1</v>
      </c>
      <c r="E69" s="17">
        <v>2</v>
      </c>
      <c r="F69" s="17">
        <v>3</v>
      </c>
      <c r="G69" s="17">
        <v>4</v>
      </c>
      <c r="H69" s="17">
        <v>5</v>
      </c>
    </row>
    <row r="70" spans="1:13" x14ac:dyDescent="0.25">
      <c r="A70" s="6"/>
      <c r="B70" s="13" t="s">
        <v>53</v>
      </c>
      <c r="C70" s="6"/>
      <c r="D70" s="5">
        <f>D65</f>
        <v>660900</v>
      </c>
      <c r="E70" s="5">
        <f>E65</f>
        <v>767312</v>
      </c>
      <c r="F70" s="5">
        <f>F65</f>
        <v>897899.52000000014</v>
      </c>
      <c r="G70" s="5">
        <f>G65</f>
        <v>1051729.1008000004</v>
      </c>
      <c r="H70" s="5">
        <f>H65</f>
        <v>1230334.7875840003</v>
      </c>
    </row>
    <row r="71" spans="1:13" x14ac:dyDescent="0.25">
      <c r="A71" s="6"/>
      <c r="B71" s="13" t="s">
        <v>52</v>
      </c>
      <c r="C71" s="6"/>
      <c r="D71" s="5">
        <f>D64</f>
        <v>770400</v>
      </c>
      <c r="E71" s="5">
        <f>E64</f>
        <v>876865.5</v>
      </c>
      <c r="F71" s="5">
        <f>F64</f>
        <v>992116.72000000009</v>
      </c>
      <c r="G71" s="5">
        <f>G64</f>
        <v>1130468.3523000001</v>
      </c>
      <c r="H71" s="5">
        <f>H64</f>
        <v>1286803.3063340001</v>
      </c>
    </row>
    <row r="72" spans="1:13" x14ac:dyDescent="0.25">
      <c r="A72" s="6"/>
      <c r="B72" s="13" t="s">
        <v>27</v>
      </c>
      <c r="C72" s="6"/>
      <c r="D72" s="5">
        <f>D29</f>
        <v>15116666.666666666</v>
      </c>
      <c r="E72" s="5">
        <f>E29</f>
        <v>16586762.500000002</v>
      </c>
      <c r="F72" s="5">
        <f>F29</f>
        <v>18200253.75</v>
      </c>
      <c r="G72" s="5">
        <f>G29</f>
        <v>19969706.53125</v>
      </c>
      <c r="H72" s="5">
        <f>H29</f>
        <v>21911323.415625002</v>
      </c>
    </row>
    <row r="73" spans="1:13" x14ac:dyDescent="0.25">
      <c r="A73" s="6"/>
      <c r="B73" s="13" t="s">
        <v>55</v>
      </c>
      <c r="C73" s="6"/>
      <c r="D73" s="5">
        <f>D67</f>
        <v>4021150.0000000005</v>
      </c>
      <c r="E73" s="5">
        <f>E67</f>
        <v>4607605.333333334</v>
      </c>
      <c r="F73" s="5">
        <f>F67</f>
        <v>5393125.5466666678</v>
      </c>
      <c r="G73" s="5">
        <f>G67</f>
        <v>6312341.5040000025</v>
      </c>
      <c r="H73" s="5">
        <f>H67</f>
        <v>7387568.4939093348</v>
      </c>
    </row>
    <row r="74" spans="1:13" x14ac:dyDescent="0.25">
      <c r="A74" s="6"/>
      <c r="B74" s="13" t="s">
        <v>57</v>
      </c>
      <c r="C74" s="6"/>
      <c r="D74" s="5">
        <f>SUM(D70:D72)-D73</f>
        <v>12526816.666666666</v>
      </c>
      <c r="E74" s="5">
        <f>SUM(E70:E72)-E73</f>
        <v>13623334.666666666</v>
      </c>
      <c r="F74" s="5">
        <f>SUM(F70:F72)-F73</f>
        <v>14697144.443333335</v>
      </c>
      <c r="G74" s="5">
        <f>SUM(G70:G72)-G73</f>
        <v>15839562.480349997</v>
      </c>
      <c r="H74" s="5">
        <f>SUM(H70:H72)-H73</f>
        <v>17040893.015633665</v>
      </c>
    </row>
    <row r="75" spans="1:13" x14ac:dyDescent="0.25">
      <c r="A75" s="6"/>
      <c r="B75" s="13" t="s">
        <v>58</v>
      </c>
      <c r="C75" s="5">
        <f>D74</f>
        <v>12526816.666666666</v>
      </c>
      <c r="D75" s="5">
        <f>IF(E74&gt;D74,E74-D74,0)</f>
        <v>1096518</v>
      </c>
      <c r="E75" s="5">
        <f>IF(F74&gt;E74,F74-E74,0)</f>
        <v>1073809.7766666692</v>
      </c>
      <c r="F75" s="5">
        <f>IF(G74&gt;F74,G74-F74,0)</f>
        <v>1142418.0370166618</v>
      </c>
      <c r="G75" s="5">
        <f>IF(H74&gt;G74,H74-G74,0)</f>
        <v>1201330.535283668</v>
      </c>
      <c r="H75" s="46">
        <v>1920436.06092188</v>
      </c>
    </row>
    <row r="76" spans="1:13" x14ac:dyDescent="0.25">
      <c r="A76" s="6"/>
      <c r="B76" s="13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</row>
    <row r="77" spans="1:13" x14ac:dyDescent="0.25">
      <c r="A77" s="6"/>
      <c r="B77" s="13"/>
      <c r="C77" s="6"/>
      <c r="D77" s="5">
        <f>D70+D71</f>
        <v>1431300</v>
      </c>
      <c r="E77" s="6"/>
      <c r="F77" s="6"/>
      <c r="G77" s="6"/>
      <c r="H77" s="6"/>
      <c r="I77" s="6"/>
      <c r="J77" s="6"/>
      <c r="K77" s="6"/>
      <c r="L77" s="6"/>
      <c r="M77" s="6"/>
    </row>
    <row r="78" spans="1:13" x14ac:dyDescent="0.25">
      <c r="A78" s="9"/>
      <c r="B78" s="21"/>
      <c r="C78" s="21"/>
      <c r="D78" s="21"/>
      <c r="E78" s="21"/>
      <c r="F78" s="21"/>
      <c r="G78" s="21"/>
      <c r="H78" s="6"/>
      <c r="I78" s="6"/>
      <c r="J78" s="6"/>
      <c r="K78" s="6"/>
      <c r="L78" s="6"/>
      <c r="M78" s="6"/>
    </row>
    <row r="79" spans="1:13" x14ac:dyDescent="0.25">
      <c r="A79" s="9"/>
      <c r="B79" s="22"/>
      <c r="C79" s="21"/>
      <c r="D79" s="21"/>
      <c r="E79" s="21"/>
      <c r="F79" s="21"/>
      <c r="G79" s="21"/>
      <c r="H79" s="6"/>
      <c r="I79" s="6"/>
      <c r="J79" s="6"/>
      <c r="K79" s="6"/>
      <c r="L79" s="6"/>
      <c r="M79" s="6"/>
    </row>
    <row r="80" spans="1:13" x14ac:dyDescent="0.25">
      <c r="A80" s="9"/>
      <c r="B80" s="20"/>
      <c r="C80" s="21"/>
      <c r="D80" s="21"/>
      <c r="E80" s="21"/>
      <c r="F80" s="21"/>
      <c r="G80" s="21"/>
      <c r="H80" s="6"/>
      <c r="I80" s="6"/>
      <c r="J80" s="6"/>
      <c r="K80" s="6"/>
      <c r="L80" s="6"/>
      <c r="M80" s="6"/>
    </row>
    <row r="81" spans="1:13" x14ac:dyDescent="0.25">
      <c r="A81" s="9" t="s">
        <v>43</v>
      </c>
      <c r="B81" s="20">
        <v>0.12</v>
      </c>
      <c r="C81" s="21"/>
      <c r="D81" s="21"/>
      <c r="E81" s="21"/>
      <c r="F81" s="21"/>
      <c r="G81" s="21"/>
      <c r="H81" s="6"/>
      <c r="I81" s="6"/>
      <c r="J81" s="6"/>
      <c r="K81" s="6"/>
      <c r="L81" s="6"/>
      <c r="M81" s="6"/>
    </row>
    <row r="82" spans="1:13" x14ac:dyDescent="0.25">
      <c r="A82" s="9" t="s">
        <v>63</v>
      </c>
      <c r="B82" s="22">
        <v>100000000</v>
      </c>
      <c r="C82" s="21"/>
      <c r="D82" s="21"/>
      <c r="E82" s="21"/>
      <c r="F82" s="21"/>
      <c r="G82" s="21"/>
      <c r="H82" s="6"/>
      <c r="I82" s="6"/>
      <c r="J82" s="6"/>
      <c r="K82" s="6"/>
      <c r="L82" s="6"/>
      <c r="M82" s="6"/>
    </row>
    <row r="83" spans="1:13" x14ac:dyDescent="0.25">
      <c r="A83" s="9" t="s">
        <v>64</v>
      </c>
      <c r="B83" s="22">
        <v>20000000</v>
      </c>
      <c r="C83" s="21"/>
      <c r="D83" s="21"/>
      <c r="E83" s="21"/>
      <c r="F83" s="21"/>
      <c r="G83" s="21"/>
      <c r="H83" s="6"/>
      <c r="I83" s="6"/>
      <c r="J83" s="6"/>
      <c r="K83" s="6"/>
      <c r="L83" s="6"/>
      <c r="M83" s="6"/>
    </row>
    <row r="84" spans="1:13" x14ac:dyDescent="0.25">
      <c r="A84" s="9" t="s">
        <v>65</v>
      </c>
      <c r="B84" s="22">
        <v>2000000</v>
      </c>
      <c r="C84" s="21" t="s">
        <v>60</v>
      </c>
      <c r="D84" s="21"/>
      <c r="E84" s="21"/>
      <c r="F84" s="21"/>
      <c r="G84" s="21"/>
      <c r="H84" s="6"/>
      <c r="I84" s="6"/>
      <c r="J84" s="6"/>
      <c r="K84" s="6"/>
      <c r="L84" s="6"/>
      <c r="M84" s="6"/>
    </row>
    <row r="85" spans="1:13" x14ac:dyDescent="0.25">
      <c r="A85" s="9" t="s">
        <v>66</v>
      </c>
      <c r="B85" s="22">
        <v>10000000</v>
      </c>
      <c r="C85" s="21"/>
      <c r="D85" s="21"/>
      <c r="E85" s="21"/>
      <c r="F85" s="21"/>
      <c r="G85" s="21"/>
      <c r="H85" s="6"/>
      <c r="I85" s="6"/>
      <c r="J85" s="6"/>
      <c r="K85" s="6"/>
      <c r="L85" s="6"/>
      <c r="M85" s="6"/>
    </row>
    <row r="86" spans="1:13" x14ac:dyDescent="0.25">
      <c r="A86" s="9" t="s">
        <v>67</v>
      </c>
      <c r="B86" s="22">
        <v>10000000</v>
      </c>
      <c r="C86" s="21" t="s">
        <v>60</v>
      </c>
      <c r="D86" s="21"/>
      <c r="E86" s="21"/>
      <c r="F86" s="21"/>
      <c r="G86" s="21"/>
      <c r="H86" s="6"/>
      <c r="I86" s="6"/>
      <c r="J86" s="6"/>
      <c r="K86" s="6"/>
      <c r="L86" s="6"/>
      <c r="M86" s="6"/>
    </row>
    <row r="87" spans="1:13" x14ac:dyDescent="0.25">
      <c r="A87" s="9" t="s">
        <v>68</v>
      </c>
      <c r="B87" s="20">
        <v>0.1</v>
      </c>
      <c r="C87" s="21" t="s">
        <v>69</v>
      </c>
      <c r="D87" s="21"/>
      <c r="E87" s="23"/>
      <c r="F87" s="21"/>
      <c r="G87" s="21"/>
      <c r="H87" s="6"/>
      <c r="I87" s="6"/>
      <c r="J87" s="6"/>
      <c r="K87" s="6"/>
      <c r="L87" s="6"/>
      <c r="M87" s="6"/>
    </row>
    <row r="88" spans="1:13" x14ac:dyDescent="0.25">
      <c r="A88" s="9" t="s">
        <v>70</v>
      </c>
      <c r="B88" s="21">
        <v>12000</v>
      </c>
      <c r="C88" s="21"/>
      <c r="D88" s="21"/>
      <c r="E88" s="21"/>
      <c r="F88" s="21"/>
      <c r="G88" s="21"/>
      <c r="H88" s="6"/>
      <c r="I88" s="6"/>
      <c r="J88" s="6"/>
      <c r="K88" s="6"/>
      <c r="L88" s="6"/>
      <c r="M88" s="6"/>
    </row>
    <row r="89" spans="1:13" x14ac:dyDescent="0.25">
      <c r="A89" s="9" t="s">
        <v>72</v>
      </c>
      <c r="B89" s="24">
        <v>2700</v>
      </c>
      <c r="C89" s="21" t="s">
        <v>71</v>
      </c>
      <c r="D89" s="21">
        <v>2000</v>
      </c>
      <c r="E89" s="21"/>
      <c r="F89" s="21"/>
      <c r="G89" s="21"/>
      <c r="H89" s="6"/>
      <c r="I89" s="6"/>
      <c r="J89" s="6"/>
      <c r="K89" s="6"/>
      <c r="L89" s="6"/>
      <c r="M89" s="6"/>
    </row>
    <row r="90" spans="1:13" x14ac:dyDescent="0.25">
      <c r="A90" s="9" t="s">
        <v>73</v>
      </c>
      <c r="B90" s="20"/>
      <c r="C90" s="21"/>
      <c r="D90" s="21"/>
      <c r="E90" s="21"/>
      <c r="F90" s="21"/>
      <c r="G90" s="21"/>
      <c r="H90" s="6"/>
      <c r="I90" s="6"/>
      <c r="J90" s="6"/>
      <c r="K90" s="6"/>
      <c r="L90" s="6"/>
      <c r="M90" s="6"/>
    </row>
    <row r="91" spans="1:13" x14ac:dyDescent="0.25">
      <c r="A91" s="9" t="s">
        <v>74</v>
      </c>
      <c r="B91" s="20">
        <v>0.33</v>
      </c>
      <c r="C91" s="21"/>
      <c r="D91" s="21"/>
      <c r="E91" s="21"/>
      <c r="F91" s="21"/>
      <c r="G91" s="21"/>
      <c r="H91" s="6"/>
      <c r="I91" s="6"/>
      <c r="J91" s="6"/>
      <c r="K91" s="6"/>
      <c r="L91" s="6"/>
      <c r="M91" s="6"/>
    </row>
    <row r="92" spans="1:13" x14ac:dyDescent="0.25">
      <c r="A92" s="9" t="s">
        <v>115</v>
      </c>
      <c r="B92" s="22">
        <v>5000</v>
      </c>
      <c r="C92" s="21" t="s">
        <v>3</v>
      </c>
      <c r="D92" s="21"/>
      <c r="E92" s="21"/>
      <c r="F92" s="21"/>
      <c r="G92" s="21"/>
      <c r="H92" s="6"/>
      <c r="I92" s="6"/>
      <c r="J92" s="6"/>
      <c r="K92" s="6"/>
      <c r="L92" s="6"/>
      <c r="M92" s="6"/>
    </row>
    <row r="93" spans="1:13" x14ac:dyDescent="0.25">
      <c r="A93" s="9" t="s">
        <v>116</v>
      </c>
      <c r="B93" s="22">
        <v>8000</v>
      </c>
      <c r="C93" s="21" t="s">
        <v>3</v>
      </c>
      <c r="D93" s="21"/>
      <c r="E93" s="21"/>
      <c r="F93" s="21"/>
      <c r="G93" s="21"/>
      <c r="H93" s="6"/>
      <c r="I93" s="6"/>
      <c r="J93" s="6"/>
      <c r="K93" s="6"/>
      <c r="L93" s="6"/>
      <c r="M93" s="6"/>
    </row>
    <row r="94" spans="1:13" x14ac:dyDescent="0.25">
      <c r="A94" s="9" t="s">
        <v>75</v>
      </c>
      <c r="B94" s="21">
        <v>30</v>
      </c>
      <c r="C94" s="21" t="s">
        <v>76</v>
      </c>
      <c r="D94" s="21"/>
      <c r="E94" s="21"/>
      <c r="F94" s="21"/>
      <c r="G94" s="21"/>
      <c r="H94" s="6"/>
      <c r="I94" s="6"/>
      <c r="J94" s="6"/>
      <c r="K94" s="6"/>
      <c r="L94" s="6"/>
      <c r="M94" s="6"/>
    </row>
    <row r="95" spans="1:13" x14ac:dyDescent="0.25">
      <c r="A95" s="9" t="s">
        <v>77</v>
      </c>
      <c r="B95" s="20">
        <v>0.9</v>
      </c>
      <c r="C95" s="21"/>
      <c r="D95" s="21"/>
      <c r="E95" s="21"/>
      <c r="F95" s="21"/>
      <c r="G95" s="21"/>
      <c r="H95" s="6"/>
      <c r="I95" s="6"/>
      <c r="J95" s="6"/>
      <c r="K95" s="6"/>
      <c r="L95" s="6"/>
      <c r="M95" s="6"/>
    </row>
    <row r="96" spans="1:13" x14ac:dyDescent="0.25">
      <c r="A96" s="9" t="s">
        <v>78</v>
      </c>
      <c r="B96" s="20">
        <v>0.1</v>
      </c>
      <c r="C96" s="20">
        <f>B96+B95</f>
        <v>1</v>
      </c>
      <c r="D96" s="21"/>
      <c r="E96" s="21"/>
      <c r="F96" s="21"/>
      <c r="G96" s="21"/>
      <c r="H96" s="6"/>
      <c r="I96" s="6"/>
      <c r="J96" s="6"/>
      <c r="K96" s="6"/>
      <c r="L96" s="6"/>
      <c r="M96" s="6"/>
    </row>
    <row r="97" spans="1:13" x14ac:dyDescent="0.25">
      <c r="A97" s="9" t="s">
        <v>232</v>
      </c>
      <c r="B97" s="21">
        <v>5</v>
      </c>
      <c r="C97" s="21" t="s">
        <v>1</v>
      </c>
      <c r="D97" s="21"/>
      <c r="E97" s="21"/>
      <c r="F97" s="21"/>
      <c r="G97" s="21"/>
      <c r="H97" s="6"/>
      <c r="I97" s="6"/>
      <c r="J97" s="6"/>
      <c r="K97" s="6"/>
      <c r="L97" s="6"/>
      <c r="M97" s="6"/>
    </row>
    <row r="98" spans="1:13" x14ac:dyDescent="0.25">
      <c r="A98" s="9" t="s">
        <v>79</v>
      </c>
      <c r="B98" s="21"/>
      <c r="C98" s="21"/>
      <c r="D98" s="21"/>
      <c r="E98" s="21"/>
      <c r="F98" s="21"/>
      <c r="G98" s="21"/>
      <c r="H98" s="6"/>
      <c r="I98" s="6"/>
      <c r="J98" s="6"/>
      <c r="K98" s="6"/>
      <c r="L98" s="6"/>
      <c r="M98" s="6"/>
    </row>
    <row r="99" spans="1:13" x14ac:dyDescent="0.25">
      <c r="A99" s="9" t="s">
        <v>80</v>
      </c>
      <c r="B99" s="25">
        <v>0.21</v>
      </c>
      <c r="C99" s="21" t="s">
        <v>81</v>
      </c>
      <c r="D99" s="21"/>
      <c r="E99" s="21"/>
      <c r="F99" s="21"/>
      <c r="G99" s="21"/>
      <c r="H99" s="6"/>
      <c r="I99" s="6"/>
      <c r="J99" s="6"/>
      <c r="K99" s="6"/>
      <c r="L99" s="6"/>
      <c r="M99" s="6"/>
    </row>
    <row r="100" spans="1:13" x14ac:dyDescent="0.25">
      <c r="A100" s="9" t="s">
        <v>82</v>
      </c>
      <c r="B100" s="20">
        <v>0.05</v>
      </c>
      <c r="C100" s="20">
        <v>0.06</v>
      </c>
      <c r="D100" s="20">
        <v>0.03</v>
      </c>
      <c r="E100" s="20">
        <v>0.02</v>
      </c>
      <c r="F100" s="20"/>
      <c r="G100" s="21"/>
      <c r="H100" s="6"/>
      <c r="I100" s="6"/>
      <c r="J100" s="6"/>
      <c r="K100" s="6"/>
      <c r="L100" s="6"/>
      <c r="M100" s="6"/>
    </row>
    <row r="101" spans="1:13" x14ac:dyDescent="0.25">
      <c r="A101" s="9" t="s">
        <v>83</v>
      </c>
      <c r="B101" s="26">
        <v>0.38500000000000001</v>
      </c>
      <c r="C101" s="21"/>
      <c r="D101" s="21"/>
      <c r="E101" s="21"/>
      <c r="F101" s="21"/>
      <c r="G101" s="21"/>
      <c r="H101" s="6"/>
      <c r="I101" s="6"/>
      <c r="J101" s="6"/>
      <c r="K101" s="6"/>
      <c r="L101" s="6"/>
      <c r="M101" s="6"/>
    </row>
    <row r="102" spans="1:13" x14ac:dyDescent="0.25">
      <c r="A102" s="9" t="s">
        <v>84</v>
      </c>
      <c r="B102" s="21">
        <v>5</v>
      </c>
      <c r="C102" s="21" t="s">
        <v>1</v>
      </c>
      <c r="D102" s="21"/>
      <c r="E102" s="21"/>
      <c r="F102" s="21"/>
      <c r="G102" s="21"/>
      <c r="H102" s="6"/>
      <c r="I102" s="6"/>
      <c r="J102" s="6"/>
      <c r="K102" s="6"/>
      <c r="L102" s="6"/>
      <c r="M102" s="6"/>
    </row>
    <row r="103" spans="1:13" x14ac:dyDescent="0.25">
      <c r="A103" s="9" t="s">
        <v>85</v>
      </c>
      <c r="B103" s="20">
        <v>0.2</v>
      </c>
      <c r="C103" s="21"/>
      <c r="D103" s="21"/>
      <c r="E103" s="21"/>
      <c r="F103" s="21"/>
      <c r="G103" s="21"/>
      <c r="H103" s="6"/>
      <c r="I103" s="6"/>
      <c r="J103" s="6"/>
      <c r="K103" s="6"/>
      <c r="L103" s="6"/>
      <c r="M103" s="6"/>
    </row>
    <row r="104" spans="1:13" x14ac:dyDescent="0.25">
      <c r="A104" s="9"/>
      <c r="B104" s="21"/>
      <c r="C104" s="21"/>
      <c r="D104" s="21"/>
      <c r="E104" s="21"/>
      <c r="F104" s="21"/>
      <c r="G104" s="21"/>
      <c r="H104" s="6"/>
      <c r="I104" s="6"/>
      <c r="J104" s="6"/>
      <c r="K104" s="6"/>
      <c r="L104" s="6"/>
      <c r="M104" s="6"/>
    </row>
    <row r="105" spans="1:13" x14ac:dyDescent="0.25">
      <c r="A105" s="9"/>
      <c r="B105" s="27"/>
      <c r="C105" s="27">
        <v>1</v>
      </c>
      <c r="D105" s="27">
        <v>2</v>
      </c>
      <c r="E105" s="27">
        <v>3</v>
      </c>
      <c r="F105" s="27">
        <v>4</v>
      </c>
      <c r="G105" s="27">
        <v>5</v>
      </c>
      <c r="H105" s="6"/>
      <c r="I105" s="6"/>
      <c r="J105" s="6"/>
      <c r="K105" s="6"/>
      <c r="L105" s="6"/>
      <c r="M105" s="6"/>
    </row>
    <row r="106" spans="1:13" x14ac:dyDescent="0.25">
      <c r="A106" s="9" t="s">
        <v>86</v>
      </c>
      <c r="B106" s="21"/>
      <c r="C106" s="21">
        <f>B89*12</f>
        <v>32400</v>
      </c>
      <c r="D106" s="21">
        <f>ROUND('Analisis de sensibilidad 3'!C106*(1+'Analisis de sensibilidad 3'!$B$100),0)</f>
        <v>34020</v>
      </c>
      <c r="E106" s="21">
        <f>ROUND(D106*(1+'Analisis de sensibilidad 3'!$C$100),0)</f>
        <v>36061</v>
      </c>
      <c r="F106" s="21">
        <f>ROUND(E106*(1+$D$100),0)</f>
        <v>37143</v>
      </c>
      <c r="G106" s="21">
        <f>ROUND(F106*(1+$E$100),0)</f>
        <v>37886</v>
      </c>
      <c r="H106" s="6"/>
      <c r="I106" s="6"/>
      <c r="J106" s="6"/>
      <c r="K106" s="6"/>
      <c r="L106" s="6"/>
      <c r="M106" s="6"/>
    </row>
    <row r="107" spans="1:13" x14ac:dyDescent="0.25">
      <c r="A107" s="9" t="s">
        <v>87</v>
      </c>
      <c r="B107" s="21"/>
      <c r="C107" s="21">
        <f>$B$88*12</f>
        <v>144000</v>
      </c>
      <c r="D107" s="21">
        <f>'Analisis de sensibilidad 3'!$B$88*12</f>
        <v>144000</v>
      </c>
      <c r="E107" s="21">
        <f>'Analisis de sensibilidad 3'!$B$88*12</f>
        <v>144000</v>
      </c>
      <c r="F107" s="21">
        <f>'Analisis de sensibilidad 3'!$B$88*12</f>
        <v>144000</v>
      </c>
      <c r="G107" s="21">
        <f>'Analisis de sensibilidad 3'!$B$88*12</f>
        <v>144000</v>
      </c>
      <c r="H107" s="6"/>
      <c r="I107" s="6"/>
      <c r="J107" s="6"/>
      <c r="K107" s="6"/>
      <c r="L107" s="6"/>
      <c r="M107" s="6"/>
    </row>
    <row r="108" spans="1:13" x14ac:dyDescent="0.25">
      <c r="A108" s="9" t="s">
        <v>88</v>
      </c>
      <c r="B108" s="21"/>
      <c r="C108" s="21">
        <f>IF(C106&lt;C107,C106,C107)</f>
        <v>32400</v>
      </c>
      <c r="D108" s="21">
        <f>IF(D106&lt;D107,D106,D107)</f>
        <v>34020</v>
      </c>
      <c r="E108" s="21">
        <f>IF(E106&lt;E107,E106,E107)</f>
        <v>36061</v>
      </c>
      <c r="F108" s="21">
        <f>IF(F106&lt;F107,F106,F107)</f>
        <v>37143</v>
      </c>
      <c r="G108" s="21">
        <f>IF(G106&lt;G107,G106,G107)</f>
        <v>37886</v>
      </c>
      <c r="H108" s="6"/>
      <c r="I108" s="6"/>
      <c r="J108" s="6"/>
      <c r="K108" s="6"/>
      <c r="L108" s="6"/>
      <c r="M108" s="6"/>
    </row>
    <row r="109" spans="1:13" x14ac:dyDescent="0.25">
      <c r="A109" s="9" t="s">
        <v>119</v>
      </c>
      <c r="B109" s="21"/>
      <c r="C109" s="21">
        <f>C106</f>
        <v>32400</v>
      </c>
      <c r="D109" s="21">
        <f>D106</f>
        <v>34020</v>
      </c>
      <c r="E109" s="21">
        <f>E106</f>
        <v>36061</v>
      </c>
      <c r="F109" s="21">
        <f>F106</f>
        <v>37143</v>
      </c>
      <c r="G109" s="21">
        <f>G106</f>
        <v>37886</v>
      </c>
      <c r="H109" s="6"/>
      <c r="I109" s="6"/>
      <c r="J109" s="6"/>
      <c r="K109" s="6"/>
      <c r="L109" s="6"/>
      <c r="M109" s="6"/>
    </row>
    <row r="110" spans="1:13" x14ac:dyDescent="0.25">
      <c r="A110" s="9" t="s">
        <v>120</v>
      </c>
      <c r="B110" s="21"/>
      <c r="C110" s="14">
        <v>1800</v>
      </c>
      <c r="D110" s="14">
        <f>ROUND('Analisis de sensibilidad 3'!C110*(1+$E$5),0)</f>
        <v>1881</v>
      </c>
      <c r="E110" s="14">
        <f>ROUND(D110*(1+$E$5),0)</f>
        <v>1966</v>
      </c>
      <c r="F110" s="14">
        <f>ROUND(E110*(1+$E$5),0)</f>
        <v>2054</v>
      </c>
      <c r="G110" s="14">
        <f>ROUND(F110*(1+$E$5),0)</f>
        <v>2146</v>
      </c>
      <c r="H110" s="6"/>
      <c r="I110" s="6"/>
      <c r="J110" s="6"/>
      <c r="K110" s="6"/>
      <c r="L110" s="6"/>
      <c r="M110" s="6"/>
    </row>
    <row r="111" spans="1:13" x14ac:dyDescent="0.25">
      <c r="A111" s="9" t="s">
        <v>117</v>
      </c>
      <c r="B111" s="21"/>
      <c r="C111" s="22">
        <f>B92</f>
        <v>5000</v>
      </c>
      <c r="D111" s="5">
        <f>'Analisis de sensibilidad 3'!C111*(1+$C$8)</f>
        <v>5250</v>
      </c>
      <c r="E111" s="5">
        <f t="shared" ref="E111:G112" si="3">D111*(1+$C$8)</f>
        <v>5512.5</v>
      </c>
      <c r="F111" s="5">
        <f t="shared" si="3"/>
        <v>5788.125</v>
      </c>
      <c r="G111" s="5">
        <f t="shared" si="3"/>
        <v>6077.53125</v>
      </c>
      <c r="H111" s="6"/>
      <c r="I111" s="6"/>
      <c r="J111" s="6"/>
      <c r="K111" s="6"/>
      <c r="L111" s="6"/>
      <c r="M111" s="6"/>
    </row>
    <row r="112" spans="1:13" x14ac:dyDescent="0.25">
      <c r="A112" s="9" t="s">
        <v>118</v>
      </c>
      <c r="B112" s="21"/>
      <c r="C112" s="22">
        <f>B93</f>
        <v>8000</v>
      </c>
      <c r="D112" s="5">
        <f>'Analisis de sensibilidad 3'!C112*(1+$C$8)</f>
        <v>8400</v>
      </c>
      <c r="E112" s="5">
        <f t="shared" si="3"/>
        <v>8820</v>
      </c>
      <c r="F112" s="5">
        <f t="shared" si="3"/>
        <v>9261</v>
      </c>
      <c r="G112" s="5">
        <f t="shared" si="3"/>
        <v>9724.0500000000011</v>
      </c>
      <c r="H112" s="6"/>
      <c r="I112" s="6"/>
      <c r="J112" s="6"/>
      <c r="K112" s="6"/>
      <c r="L112" s="6"/>
      <c r="M112" s="6"/>
    </row>
    <row r="113" spans="1:13" x14ac:dyDescent="0.25">
      <c r="A113" s="9"/>
      <c r="B113" s="21"/>
      <c r="C113" s="21" t="s">
        <v>128</v>
      </c>
      <c r="D113" s="21" t="s">
        <v>129</v>
      </c>
      <c r="E113" s="21" t="s">
        <v>130</v>
      </c>
      <c r="F113" s="21" t="s">
        <v>131</v>
      </c>
      <c r="G113" s="21" t="s">
        <v>132</v>
      </c>
      <c r="H113" s="6"/>
      <c r="I113" s="6"/>
      <c r="J113" s="6"/>
      <c r="K113" s="6"/>
      <c r="L113" s="6"/>
      <c r="M113" s="6"/>
    </row>
    <row r="114" spans="1:13" x14ac:dyDescent="0.25">
      <c r="A114" s="9" t="s">
        <v>59</v>
      </c>
      <c r="B114" s="21"/>
      <c r="C114" s="22">
        <f>+'Analisis de sensibilidad 3'!C109*'Analisis de sensibilidad 3'!C111+'Analisis de sensibilidad 3'!C110*'Analisis de sensibilidad 3'!C112</f>
        <v>176400000</v>
      </c>
      <c r="D114" s="22">
        <f>+D109*D111+D110*D112</f>
        <v>194405400</v>
      </c>
      <c r="E114" s="22">
        <f>+E109*E111+E110*E112</f>
        <v>216126382.5</v>
      </c>
      <c r="F114" s="22">
        <f>+F109*F111+F110*F112</f>
        <v>234010420.875</v>
      </c>
      <c r="G114" s="22">
        <f>+G109*G111+G110*G112</f>
        <v>251121160.23750001</v>
      </c>
      <c r="H114" s="6"/>
      <c r="I114" s="6" t="s">
        <v>121</v>
      </c>
      <c r="J114" s="6"/>
      <c r="K114" s="6"/>
      <c r="L114" s="6"/>
      <c r="M114" s="6"/>
    </row>
    <row r="115" spans="1:13" x14ac:dyDescent="0.25">
      <c r="A115" s="28" t="s">
        <v>89</v>
      </c>
      <c r="B115" s="21"/>
      <c r="C115" s="22">
        <f>('Analisis de sensibilidad 3'!B86*12)+(C114*'Analisis de sensibilidad 3'!B87)</f>
        <v>137640000</v>
      </c>
      <c r="D115" s="22">
        <f>+C115*(1+$C$21)</f>
        <v>154156800</v>
      </c>
      <c r="E115" s="22">
        <f>+D115*(1+$C$21)</f>
        <v>172655616.00000003</v>
      </c>
      <c r="F115" s="22">
        <f>+E115*(1+$C$21)</f>
        <v>193374289.92000005</v>
      </c>
      <c r="G115" s="22">
        <f>+F115*(1+$C$21)</f>
        <v>216579204.71040007</v>
      </c>
      <c r="H115" s="6"/>
      <c r="I115" s="6"/>
      <c r="J115" s="6"/>
      <c r="K115" s="6"/>
      <c r="L115" s="6"/>
      <c r="M115" s="6"/>
    </row>
    <row r="116" spans="1:13" x14ac:dyDescent="0.25">
      <c r="A116" s="29" t="s">
        <v>90</v>
      </c>
      <c r="B116" s="21"/>
      <c r="C116" s="30">
        <f>C114-C115</f>
        <v>38760000</v>
      </c>
      <c r="D116" s="30">
        <f>D114-D115</f>
        <v>40248600</v>
      </c>
      <c r="E116" s="30">
        <f>E114-E115</f>
        <v>43470766.49999997</v>
      </c>
      <c r="F116" s="30">
        <f>F114-F115</f>
        <v>40636130.954999954</v>
      </c>
      <c r="G116" s="30">
        <f>G114-G115</f>
        <v>34541955.527099937</v>
      </c>
      <c r="H116" s="6"/>
      <c r="I116" s="6"/>
      <c r="J116" s="6"/>
      <c r="K116" s="6"/>
      <c r="L116" s="6"/>
      <c r="M116" s="6"/>
    </row>
    <row r="117" spans="1:13" x14ac:dyDescent="0.25">
      <c r="A117" s="28" t="s">
        <v>91</v>
      </c>
      <c r="B117" s="21"/>
      <c r="C117" s="22">
        <f>('Analisis de sensibilidad 3'!B84*12)</f>
        <v>24000000</v>
      </c>
      <c r="D117" s="22">
        <f>C117*(1+$C$21)</f>
        <v>26880000.000000004</v>
      </c>
      <c r="E117" s="22">
        <f>D117*(1+$C$21)</f>
        <v>30105600.000000007</v>
      </c>
      <c r="F117" s="22">
        <f>E117*(1+$C$21)</f>
        <v>33718272.000000015</v>
      </c>
      <c r="G117" s="22">
        <f>F117*(1+$C$21)</f>
        <v>37764464.640000023</v>
      </c>
      <c r="H117" s="6"/>
      <c r="I117" s="6"/>
      <c r="J117" s="6"/>
      <c r="K117" s="6"/>
      <c r="L117" s="6"/>
      <c r="M117" s="6"/>
    </row>
    <row r="118" spans="1:13" x14ac:dyDescent="0.25">
      <c r="A118" s="28" t="s">
        <v>92</v>
      </c>
      <c r="B118" s="21"/>
      <c r="C118" s="22">
        <f>('Analisis de sensibilidad 3'!$B$82+'Analisis de sensibilidad 3'!$B$83+'Analisis de sensibilidad 3'!$B$85)/5</f>
        <v>26000000</v>
      </c>
      <c r="D118" s="22">
        <f>('Analisis de sensibilidad 3'!$B$82+'Analisis de sensibilidad 3'!$B$83+'Analisis de sensibilidad 3'!$B$85)/5</f>
        <v>26000000</v>
      </c>
      <c r="E118" s="22">
        <f>('Analisis de sensibilidad 3'!$B$82+'Analisis de sensibilidad 3'!$B$83+'Analisis de sensibilidad 3'!$B$85)/5</f>
        <v>26000000</v>
      </c>
      <c r="F118" s="22">
        <f>('Analisis de sensibilidad 3'!$B$82+'Analisis de sensibilidad 3'!$B$83+'Analisis de sensibilidad 3'!$B$85)/5</f>
        <v>26000000</v>
      </c>
      <c r="G118" s="22">
        <f>('Analisis de sensibilidad 3'!$B$82+'Analisis de sensibilidad 3'!$B$83+'Analisis de sensibilidad 3'!$B$85)/5</f>
        <v>26000000</v>
      </c>
      <c r="H118" s="6"/>
      <c r="I118" s="6"/>
      <c r="J118" s="6"/>
      <c r="K118" s="6"/>
      <c r="L118" s="6"/>
      <c r="M118" s="6"/>
    </row>
    <row r="119" spans="1:13" x14ac:dyDescent="0.25">
      <c r="A119" s="29" t="s">
        <v>93</v>
      </c>
      <c r="B119" s="21"/>
      <c r="C119" s="30">
        <f>C116-C117-C118</f>
        <v>-11240000</v>
      </c>
      <c r="D119" s="30">
        <f>D116-D117-D118</f>
        <v>-12631400.000000004</v>
      </c>
      <c r="E119" s="30">
        <f>E116-E117-E118</f>
        <v>-12634833.500000037</v>
      </c>
      <c r="F119" s="30">
        <f>F116-F117-F118</f>
        <v>-19082141.045000061</v>
      </c>
      <c r="G119" s="30">
        <f>G116-G117-G118</f>
        <v>-29222509.112900086</v>
      </c>
      <c r="H119" s="6"/>
      <c r="I119" s="6"/>
      <c r="J119" s="6"/>
      <c r="K119" s="6"/>
      <c r="L119" s="6"/>
      <c r="M119" s="6"/>
    </row>
    <row r="120" spans="1:13" x14ac:dyDescent="0.25">
      <c r="A120" s="28" t="s">
        <v>94</v>
      </c>
      <c r="B120" s="21"/>
      <c r="C120" s="22">
        <f>IF(C119&gt;0,C119*'Analisis de sensibilidad 3'!$B$101,0)</f>
        <v>0</v>
      </c>
      <c r="D120" s="22">
        <f>IF(D119&gt;0,D119*'Analisis de sensibilidad 3'!$B$101,0)</f>
        <v>0</v>
      </c>
      <c r="E120" s="22">
        <f>IF(E119&gt;0,E119*'Analisis de sensibilidad 3'!$B$101,0)</f>
        <v>0</v>
      </c>
      <c r="F120" s="22">
        <f>IF(F119&gt;0,F119*'Analisis de sensibilidad 3'!$B$101,0)</f>
        <v>0</v>
      </c>
      <c r="G120" s="22">
        <f>IF(G119&gt;0,G119*'Analisis de sensibilidad 3'!$B$101,0)</f>
        <v>0</v>
      </c>
      <c r="H120" s="6"/>
      <c r="I120" s="6"/>
      <c r="J120" s="6"/>
      <c r="K120" s="6"/>
      <c r="L120" s="6"/>
      <c r="M120" s="6"/>
    </row>
    <row r="121" spans="1:13" x14ac:dyDescent="0.25">
      <c r="A121" s="29" t="s">
        <v>95</v>
      </c>
      <c r="B121" s="21"/>
      <c r="C121" s="30">
        <f>C119-C120</f>
        <v>-11240000</v>
      </c>
      <c r="D121" s="30">
        <f>D119-D120</f>
        <v>-12631400.000000004</v>
      </c>
      <c r="E121" s="30">
        <f>E119-E120</f>
        <v>-12634833.500000037</v>
      </c>
      <c r="F121" s="30">
        <f>F119-F120</f>
        <v>-19082141.045000061</v>
      </c>
      <c r="G121" s="30">
        <f>G119-G120</f>
        <v>-29222509.112900086</v>
      </c>
      <c r="H121" s="6"/>
      <c r="I121" s="6"/>
      <c r="J121" s="6"/>
      <c r="K121" s="6"/>
      <c r="L121" s="6"/>
      <c r="M121" s="6"/>
    </row>
    <row r="122" spans="1:13" x14ac:dyDescent="0.25">
      <c r="A122" s="28" t="s">
        <v>96</v>
      </c>
      <c r="B122" s="21"/>
      <c r="C122" s="22">
        <f>C118</f>
        <v>26000000</v>
      </c>
      <c r="D122" s="22">
        <f>D118</f>
        <v>26000000</v>
      </c>
      <c r="E122" s="22">
        <f>E118</f>
        <v>26000000</v>
      </c>
      <c r="F122" s="22">
        <f>F118</f>
        <v>26000000</v>
      </c>
      <c r="G122" s="22">
        <f>G118</f>
        <v>26000000</v>
      </c>
      <c r="H122" s="6"/>
      <c r="I122" s="6"/>
      <c r="J122" s="6"/>
      <c r="K122" s="6"/>
      <c r="L122" s="6"/>
      <c r="M122" s="6"/>
    </row>
    <row r="123" spans="1:13" x14ac:dyDescent="0.25">
      <c r="A123" s="29" t="s">
        <v>97</v>
      </c>
      <c r="B123" s="21"/>
      <c r="C123" s="30">
        <f>C122+C121</f>
        <v>14760000</v>
      </c>
      <c r="D123" s="30">
        <f>D122+D121</f>
        <v>13368599.999999996</v>
      </c>
      <c r="E123" s="30">
        <f>E122+E121</f>
        <v>13365166.499999963</v>
      </c>
      <c r="F123" s="30">
        <f>F122+F121</f>
        <v>6917858.9549999386</v>
      </c>
      <c r="G123" s="30">
        <f>G122+G121</f>
        <v>-3222509.1129000857</v>
      </c>
      <c r="H123" s="6"/>
      <c r="I123" s="6"/>
      <c r="J123" s="6"/>
      <c r="K123" s="6"/>
      <c r="L123" s="6"/>
      <c r="M123" s="6"/>
    </row>
    <row r="124" spans="1:13" x14ac:dyDescent="0.25">
      <c r="A124" s="28" t="s">
        <v>98</v>
      </c>
      <c r="B124" s="22">
        <f>B79+'Analisis de sensibilidad 3'!B85</f>
        <v>10000000</v>
      </c>
      <c r="C124" s="21"/>
      <c r="D124" s="21"/>
      <c r="E124" s="21"/>
      <c r="F124" s="21"/>
      <c r="G124" s="21"/>
      <c r="H124" s="6"/>
      <c r="I124" s="6"/>
      <c r="J124" s="6"/>
      <c r="K124" s="6"/>
      <c r="L124" s="6"/>
      <c r="M124" s="6"/>
    </row>
    <row r="125" spans="1:13" x14ac:dyDescent="0.25">
      <c r="A125" s="28" t="s">
        <v>99</v>
      </c>
      <c r="B125" s="22">
        <f>'Analisis de sensibilidad 3'!B82+'Analisis de sensibilidad 3'!B83</f>
        <v>120000000</v>
      </c>
      <c r="C125" s="21"/>
      <c r="D125" s="21"/>
      <c r="E125" s="21"/>
      <c r="F125" s="21"/>
      <c r="G125" s="21"/>
      <c r="H125" s="6"/>
      <c r="I125" s="6"/>
      <c r="J125" s="6"/>
      <c r="K125" s="6"/>
      <c r="L125" s="6"/>
      <c r="M125" s="6"/>
    </row>
    <row r="126" spans="1:13" x14ac:dyDescent="0.25">
      <c r="A126" s="28" t="s">
        <v>100</v>
      </c>
      <c r="B126" s="22">
        <f t="shared" ref="B126:G126" si="4">C75</f>
        <v>12526816.666666666</v>
      </c>
      <c r="C126" s="5">
        <f t="shared" si="4"/>
        <v>1096518</v>
      </c>
      <c r="D126" s="5">
        <f t="shared" si="4"/>
        <v>1073809.7766666692</v>
      </c>
      <c r="E126" s="5">
        <f t="shared" si="4"/>
        <v>1142418.0370166618</v>
      </c>
      <c r="F126" s="5">
        <f t="shared" si="4"/>
        <v>1201330.535283668</v>
      </c>
      <c r="G126" s="5">
        <f t="shared" si="4"/>
        <v>1920436.06092188</v>
      </c>
      <c r="H126" s="6"/>
      <c r="I126" s="6"/>
      <c r="J126" s="6"/>
      <c r="K126" s="6"/>
      <c r="L126" s="6"/>
      <c r="M126" s="6"/>
    </row>
    <row r="127" spans="1:13" x14ac:dyDescent="0.25">
      <c r="A127" s="28" t="s">
        <v>101</v>
      </c>
      <c r="B127" s="22">
        <v>0</v>
      </c>
      <c r="C127" s="21"/>
      <c r="D127" s="21"/>
      <c r="E127" s="21"/>
      <c r="F127" s="21"/>
      <c r="G127" s="21"/>
      <c r="H127" s="6"/>
      <c r="I127" s="6"/>
      <c r="J127" s="6"/>
      <c r="K127" s="6"/>
      <c r="L127" s="6"/>
      <c r="M127" s="6"/>
    </row>
    <row r="128" spans="1:13" x14ac:dyDescent="0.25">
      <c r="A128" s="28" t="s">
        <v>102</v>
      </c>
      <c r="B128" s="21"/>
      <c r="C128" s="21"/>
      <c r="D128" s="21"/>
      <c r="E128" s="21"/>
      <c r="F128" s="21"/>
      <c r="G128" s="22">
        <f>SUM(B126:G126)</f>
        <v>18961329.076555546</v>
      </c>
      <c r="H128" s="6"/>
      <c r="I128" s="6"/>
      <c r="J128" s="6"/>
      <c r="K128" s="6"/>
      <c r="L128" s="6"/>
      <c r="M128" s="6"/>
    </row>
    <row r="129" spans="1:13" x14ac:dyDescent="0.25">
      <c r="A129" s="29" t="s">
        <v>103</v>
      </c>
      <c r="B129" s="30">
        <f t="shared" ref="B129:G129" si="5">B123-B124-B125-B126-B127+B128</f>
        <v>-142526816.66666666</v>
      </c>
      <c r="C129" s="30">
        <f t="shared" si="5"/>
        <v>13663482</v>
      </c>
      <c r="D129" s="30">
        <f t="shared" si="5"/>
        <v>12294790.223333327</v>
      </c>
      <c r="E129" s="30">
        <f t="shared" si="5"/>
        <v>12222748.462983301</v>
      </c>
      <c r="F129" s="30">
        <f t="shared" si="5"/>
        <v>5716528.4197162706</v>
      </c>
      <c r="G129" s="30">
        <f t="shared" si="5"/>
        <v>13818383.902733581</v>
      </c>
      <c r="H129" s="19">
        <f>SUM(C129:G129)</f>
        <v>57715933.00876648</v>
      </c>
      <c r="I129" s="6"/>
      <c r="J129" s="6"/>
      <c r="K129" s="6"/>
      <c r="L129" s="6"/>
      <c r="M129" s="6"/>
    </row>
    <row r="130" spans="1:13" x14ac:dyDescent="0.25">
      <c r="A130" s="29" t="s">
        <v>104</v>
      </c>
      <c r="B130" s="30"/>
      <c r="C130" s="30">
        <f>PV($B$135,'Analisis de sensibilidad 3'!C105,,-C129)</f>
        <v>12025225.415517036</v>
      </c>
      <c r="D130" s="30">
        <f>PV($B$135,D105,,-D129)</f>
        <v>9523241.4887892865</v>
      </c>
      <c r="E130" s="30">
        <f>PV($B$135,E105,,-E129)</f>
        <v>8332290.1660027159</v>
      </c>
      <c r="F130" s="30">
        <f>PV($B$135,F105,,-F129)</f>
        <v>3429728.285903567</v>
      </c>
      <c r="G130" s="30">
        <f>PV($B$135,G105,,-G129)</f>
        <v>7296531.1257958794</v>
      </c>
      <c r="H130" s="19">
        <f>SUM(C130:G130)</f>
        <v>40607016.482008487</v>
      </c>
      <c r="I130" s="19">
        <f>H130+B129</f>
        <v>-101919800.18465817</v>
      </c>
      <c r="J130" s="6"/>
      <c r="K130" s="6"/>
      <c r="L130" s="6"/>
      <c r="M130" s="6"/>
    </row>
    <row r="131" spans="1:13" x14ac:dyDescent="0.25">
      <c r="A131" s="9"/>
      <c r="B131" s="21"/>
      <c r="C131" s="21"/>
      <c r="D131" s="21"/>
      <c r="E131" s="21"/>
      <c r="F131" s="21"/>
      <c r="G131" s="21"/>
      <c r="H131" s="6"/>
      <c r="I131" s="6"/>
      <c r="J131" s="6"/>
      <c r="K131" s="6"/>
      <c r="L131" s="6"/>
      <c r="M131" s="6"/>
    </row>
    <row r="132" spans="1:13" x14ac:dyDescent="0.25">
      <c r="A132" s="9"/>
      <c r="B132" s="21"/>
      <c r="C132" s="22"/>
      <c r="D132" s="22"/>
      <c r="E132" s="22"/>
      <c r="F132" s="22"/>
      <c r="G132" s="22"/>
      <c r="H132" s="6"/>
      <c r="I132" s="6"/>
      <c r="J132" s="6"/>
      <c r="K132" s="6"/>
      <c r="L132" s="6"/>
      <c r="M132" s="6"/>
    </row>
    <row r="133" spans="1:13" x14ac:dyDescent="0.25">
      <c r="A133" s="9"/>
      <c r="B133" s="22"/>
      <c r="C133" s="22"/>
      <c r="D133" s="22"/>
      <c r="E133" s="22"/>
      <c r="F133" s="22"/>
      <c r="G133" s="21"/>
      <c r="H133" s="6"/>
      <c r="I133" s="6"/>
      <c r="J133" s="6"/>
      <c r="K133" s="6"/>
      <c r="L133" s="6"/>
      <c r="M133" s="6"/>
    </row>
    <row r="134" spans="1:13" x14ac:dyDescent="0.25">
      <c r="A134" s="9"/>
      <c r="B134" s="21"/>
      <c r="C134" s="21"/>
      <c r="D134" s="21"/>
      <c r="E134" s="21"/>
      <c r="F134" s="21"/>
      <c r="G134" s="21"/>
      <c r="H134" s="6"/>
      <c r="I134" s="6"/>
      <c r="J134" s="6"/>
      <c r="K134" s="6"/>
      <c r="L134" s="6"/>
      <c r="M134" s="6"/>
    </row>
    <row r="135" spans="1:13" x14ac:dyDescent="0.25">
      <c r="A135" s="31" t="s">
        <v>105</v>
      </c>
      <c r="B135" s="32">
        <f>'Analisis de sensibilidad 3'!B95*'Analisis de sensibilidad 3'!B99*(1-'Analisis de sensibilidad 3'!B101)+'Analisis de sensibilidad 3'!B96*'Analisis de sensibilidad 3'!B103</f>
        <v>0.13623499999999999</v>
      </c>
      <c r="C135" s="33"/>
      <c r="D135" s="33"/>
      <c r="E135" s="33"/>
      <c r="F135" s="33"/>
      <c r="G135" s="34"/>
      <c r="H135" s="6"/>
      <c r="I135" s="6"/>
      <c r="J135" s="6"/>
      <c r="K135" s="6"/>
      <c r="L135" s="6"/>
      <c r="M135" s="6"/>
    </row>
    <row r="136" spans="1:13" x14ac:dyDescent="0.25">
      <c r="A136" s="35" t="s">
        <v>106</v>
      </c>
      <c r="B136" s="36">
        <f>NPV(B135,C129:G129)+B129</f>
        <v>-101919800.18465817</v>
      </c>
      <c r="C136" s="11"/>
      <c r="D136" s="11"/>
      <c r="E136" s="11"/>
      <c r="F136" s="11"/>
      <c r="G136" s="37"/>
      <c r="H136" s="6"/>
      <c r="I136" s="6"/>
      <c r="J136" s="6"/>
      <c r="K136" s="6"/>
      <c r="L136" s="6"/>
      <c r="M136" s="6"/>
    </row>
    <row r="137" spans="1:13" x14ac:dyDescent="0.25">
      <c r="A137" s="35" t="s">
        <v>107</v>
      </c>
      <c r="B137" s="38">
        <f>IRR(B129:G129)</f>
        <v>-0.24581424103503569</v>
      </c>
      <c r="C137" s="11"/>
      <c r="D137" s="11"/>
      <c r="E137" s="11"/>
      <c r="F137" s="11"/>
      <c r="G137" s="37"/>
      <c r="H137" s="6"/>
      <c r="I137" s="6"/>
      <c r="J137" s="6"/>
      <c r="K137" s="6"/>
      <c r="L137" s="6"/>
      <c r="M137" s="6"/>
    </row>
    <row r="138" spans="1:13" x14ac:dyDescent="0.25">
      <c r="A138" s="35"/>
      <c r="B138" s="39" t="s">
        <v>124</v>
      </c>
      <c r="C138" s="11">
        <v>1</v>
      </c>
      <c r="D138" s="11">
        <v>2</v>
      </c>
      <c r="E138" s="11">
        <v>3</v>
      </c>
      <c r="F138" s="11">
        <v>4</v>
      </c>
      <c r="G138" s="37">
        <v>5</v>
      </c>
      <c r="H138" s="6"/>
      <c r="I138" s="6"/>
      <c r="J138" s="6"/>
      <c r="K138" s="6"/>
      <c r="L138" s="6"/>
      <c r="M138" s="6"/>
    </row>
    <row r="139" spans="1:13" x14ac:dyDescent="0.25">
      <c r="A139" s="35" t="s">
        <v>108</v>
      </c>
      <c r="B139" s="40">
        <f>-B129</f>
        <v>142526816.66666666</v>
      </c>
      <c r="C139" s="40">
        <f>B139*(1+$B$135)-C129</f>
        <v>148280475.53525001</v>
      </c>
      <c r="D139" s="40">
        <f>C139*(1+$B$135)-D129</f>
        <v>156186675.89646149</v>
      </c>
      <c r="E139" s="40">
        <f>D139*(1+$B$135)-E129</f>
        <v>165242019.22423261</v>
      </c>
      <c r="F139" s="40">
        <f>E139*(1+$B$135)-F129</f>
        <v>182037237.29352969</v>
      </c>
      <c r="G139" s="41">
        <f>F139*(1+$B$135)-G129</f>
        <v>193018696.41348013</v>
      </c>
      <c r="H139" s="6"/>
      <c r="I139" s="6"/>
      <c r="J139" s="6"/>
      <c r="K139" s="6"/>
      <c r="L139" s="6"/>
      <c r="M139" s="6"/>
    </row>
    <row r="140" spans="1:13" x14ac:dyDescent="0.25">
      <c r="A140" s="35" t="s">
        <v>109</v>
      </c>
      <c r="B140" s="38">
        <f>MIRR(B129:G129,B135,B135)</f>
        <v>-0.11608793426203101</v>
      </c>
      <c r="C140" s="11"/>
      <c r="D140" s="11"/>
      <c r="E140" s="11"/>
      <c r="F140" s="11"/>
      <c r="G140" s="37"/>
      <c r="H140" s="6"/>
      <c r="I140" s="6"/>
      <c r="J140" s="6"/>
      <c r="K140" s="6"/>
      <c r="L140" s="6"/>
      <c r="M140" s="6"/>
    </row>
    <row r="141" spans="1:13" x14ac:dyDescent="0.25">
      <c r="A141" s="35"/>
      <c r="B141" s="38" t="s">
        <v>124</v>
      </c>
      <c r="C141" s="11">
        <v>1</v>
      </c>
      <c r="D141" s="11">
        <v>2</v>
      </c>
      <c r="E141" s="11">
        <v>3</v>
      </c>
      <c r="F141" s="11">
        <v>4</v>
      </c>
      <c r="G141" s="37">
        <v>5</v>
      </c>
      <c r="H141" s="6"/>
      <c r="I141" s="6"/>
      <c r="J141" s="6"/>
      <c r="K141" s="6"/>
      <c r="L141" s="6"/>
      <c r="M141" s="6"/>
    </row>
    <row r="142" spans="1:13" x14ac:dyDescent="0.25">
      <c r="A142" s="35" t="s">
        <v>110</v>
      </c>
      <c r="B142" s="40">
        <f>-B129</f>
        <v>142526816.66666666</v>
      </c>
      <c r="C142" s="40">
        <f>B142-C129</f>
        <v>128863334.66666666</v>
      </c>
      <c r="D142" s="40">
        <f>C142-D129</f>
        <v>116568544.44333333</v>
      </c>
      <c r="E142" s="40">
        <f>D142-E129</f>
        <v>104345795.98035003</v>
      </c>
      <c r="F142" s="40">
        <f>E142-F129</f>
        <v>98629267.560633764</v>
      </c>
      <c r="G142" s="41">
        <f>F142-G129</f>
        <v>84810883.657900184</v>
      </c>
      <c r="H142" s="6"/>
      <c r="I142" s="6"/>
      <c r="J142" s="6"/>
      <c r="K142" s="6"/>
      <c r="L142" s="6"/>
      <c r="M142" s="6"/>
    </row>
    <row r="143" spans="1:13" x14ac:dyDescent="0.25">
      <c r="A143" s="35" t="s">
        <v>111</v>
      </c>
      <c r="B143" s="42">
        <f>3+(B142-SUM(C129:E129))/F129</f>
        <v>21.253350341172453</v>
      </c>
      <c r="C143" s="11"/>
      <c r="D143" s="11"/>
      <c r="E143" s="11"/>
      <c r="F143" s="11"/>
      <c r="G143" s="37"/>
      <c r="H143" s="6"/>
      <c r="I143" s="6"/>
      <c r="J143" s="6"/>
      <c r="K143" s="6"/>
      <c r="L143" s="6"/>
      <c r="M143" s="6"/>
    </row>
    <row r="144" spans="1:13" x14ac:dyDescent="0.25">
      <c r="A144" s="35" t="s">
        <v>112</v>
      </c>
      <c r="B144" s="42">
        <f>B143*12</f>
        <v>255.04020409406945</v>
      </c>
      <c r="C144" s="11"/>
      <c r="D144" s="11"/>
      <c r="E144" s="11"/>
      <c r="F144" s="11"/>
      <c r="G144" s="37"/>
      <c r="H144" s="6"/>
      <c r="I144" s="6"/>
      <c r="J144" s="6"/>
      <c r="K144" s="6"/>
      <c r="L144" s="6"/>
      <c r="M144" s="6"/>
    </row>
    <row r="145" spans="1:13" x14ac:dyDescent="0.25">
      <c r="A145" s="35" t="s">
        <v>113</v>
      </c>
      <c r="B145" s="42">
        <f>4+((B139-SUM(C130:F130))/G130)</f>
        <v>18.968254013792222</v>
      </c>
      <c r="C145" s="11"/>
      <c r="D145" s="11"/>
      <c r="E145" s="11"/>
      <c r="F145" s="11"/>
      <c r="G145" s="37"/>
      <c r="H145" s="6"/>
      <c r="I145" s="6"/>
      <c r="J145" s="6"/>
      <c r="K145" s="6"/>
      <c r="L145" s="6"/>
      <c r="M145" s="6"/>
    </row>
    <row r="146" spans="1:13" x14ac:dyDescent="0.25">
      <c r="A146" s="43" t="s">
        <v>114</v>
      </c>
      <c r="B146" s="44">
        <f>B145*12</f>
        <v>227.61904816550668</v>
      </c>
      <c r="C146" s="12"/>
      <c r="D146" s="12"/>
      <c r="E146" s="12"/>
      <c r="F146" s="12"/>
      <c r="G146" s="45"/>
      <c r="H146" s="6"/>
      <c r="I146" s="6"/>
      <c r="J146" s="6"/>
      <c r="K146" s="6"/>
      <c r="L146" s="6"/>
      <c r="M146" s="6"/>
    </row>
    <row r="147" spans="1:13" ht="18.75" x14ac:dyDescent="0.3">
      <c r="A147" s="3"/>
      <c r="B147" s="4"/>
      <c r="C147" s="3"/>
      <c r="D147" s="3"/>
      <c r="E147" s="3"/>
      <c r="F147" s="3"/>
      <c r="G147" s="3"/>
    </row>
    <row r="148" spans="1:13" ht="18.75" x14ac:dyDescent="0.3">
      <c r="A148" s="3"/>
      <c r="B148" s="4"/>
      <c r="C148" s="3"/>
      <c r="D148" s="3"/>
      <c r="E148" s="3"/>
      <c r="F148" s="3"/>
      <c r="G148" s="3"/>
    </row>
  </sheetData>
  <pageMargins left="0.75" right="0.75" top="1" bottom="1" header="0.5" footer="0.5"/>
  <pageSetup orientation="portrait" horizontalDpi="4294967292" verticalDpi="4294967292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31"/>
  <sheetViews>
    <sheetView topLeftCell="A2" workbookViewId="0">
      <selection activeCell="A3" sqref="A3"/>
    </sheetView>
  </sheetViews>
  <sheetFormatPr baseColWidth="10" defaultRowHeight="15.75" x14ac:dyDescent="0.25"/>
  <cols>
    <col min="1" max="1" width="23.5" customWidth="1"/>
    <col min="2" max="2" width="11.125" bestFit="1" customWidth="1"/>
    <col min="3" max="3" width="11.375" bestFit="1" customWidth="1"/>
  </cols>
  <sheetData>
    <row r="2" spans="1:3" x14ac:dyDescent="0.25">
      <c r="A2" s="9" t="s">
        <v>168</v>
      </c>
      <c r="B2" s="9"/>
      <c r="C2" s="9"/>
    </row>
    <row r="3" spans="1:3" x14ac:dyDescent="0.25">
      <c r="A3" s="9"/>
      <c r="B3" s="9"/>
      <c r="C3" s="9"/>
    </row>
    <row r="4" spans="1:3" x14ac:dyDescent="0.25">
      <c r="A4" s="9" t="s">
        <v>169</v>
      </c>
      <c r="B4" s="9" t="s">
        <v>3</v>
      </c>
      <c r="C4" s="9" t="s">
        <v>170</v>
      </c>
    </row>
    <row r="5" spans="1:3" x14ac:dyDescent="0.25">
      <c r="A5" s="9" t="s">
        <v>171</v>
      </c>
      <c r="B5" s="9"/>
      <c r="C5" s="9" t="s">
        <v>194</v>
      </c>
    </row>
    <row r="6" spans="1:3" x14ac:dyDescent="0.25">
      <c r="A6" s="9"/>
      <c r="B6" s="9"/>
      <c r="C6" s="9"/>
    </row>
    <row r="7" spans="1:3" x14ac:dyDescent="0.25">
      <c r="A7" s="9" t="s">
        <v>172</v>
      </c>
      <c r="B7" s="9">
        <v>1</v>
      </c>
      <c r="C7" s="9">
        <v>15432.099</v>
      </c>
    </row>
    <row r="8" spans="1:3" x14ac:dyDescent="0.25">
      <c r="A8" s="9" t="s">
        <v>173</v>
      </c>
      <c r="B8" s="9">
        <v>1</v>
      </c>
      <c r="C8" s="9">
        <v>9259.259</v>
      </c>
    </row>
    <row r="9" spans="1:3" x14ac:dyDescent="0.25">
      <c r="A9" s="9" t="s">
        <v>174</v>
      </c>
      <c r="B9" s="9">
        <v>2</v>
      </c>
      <c r="C9" s="9">
        <v>1000</v>
      </c>
    </row>
    <row r="10" spans="1:3" x14ac:dyDescent="0.25">
      <c r="A10" s="9" t="s">
        <v>175</v>
      </c>
      <c r="B10" s="9">
        <v>1</v>
      </c>
      <c r="C10" s="9">
        <v>1000</v>
      </c>
    </row>
    <row r="11" spans="1:3" x14ac:dyDescent="0.25">
      <c r="A11" s="9" t="s">
        <v>176</v>
      </c>
      <c r="B11" s="9">
        <v>2</v>
      </c>
      <c r="C11" s="9">
        <v>1000</v>
      </c>
    </row>
    <row r="12" spans="1:3" x14ac:dyDescent="0.25">
      <c r="A12" s="9" t="s">
        <v>177</v>
      </c>
      <c r="B12" s="9">
        <v>100</v>
      </c>
      <c r="C12" s="9">
        <v>35</v>
      </c>
    </row>
    <row r="13" spans="1:3" x14ac:dyDescent="0.25">
      <c r="A13" s="9" t="s">
        <v>178</v>
      </c>
      <c r="B13" s="9">
        <v>1</v>
      </c>
      <c r="C13" s="9">
        <v>5000</v>
      </c>
    </row>
    <row r="14" spans="1:3" x14ac:dyDescent="0.25">
      <c r="A14" s="9" t="s">
        <v>179</v>
      </c>
      <c r="B14" s="9">
        <v>1</v>
      </c>
      <c r="C14" s="9">
        <v>1000</v>
      </c>
    </row>
    <row r="15" spans="1:3" x14ac:dyDescent="0.25">
      <c r="A15" s="9" t="s">
        <v>180</v>
      </c>
      <c r="B15" s="9">
        <v>50</v>
      </c>
      <c r="C15" s="9">
        <v>35</v>
      </c>
    </row>
    <row r="16" spans="1:3" x14ac:dyDescent="0.25">
      <c r="A16" s="9" t="s">
        <v>181</v>
      </c>
      <c r="B16" s="9">
        <v>1</v>
      </c>
      <c r="C16" s="9">
        <v>1000</v>
      </c>
    </row>
    <row r="17" spans="1:3" x14ac:dyDescent="0.25">
      <c r="A17" s="9" t="s">
        <v>182</v>
      </c>
      <c r="B17" s="9">
        <v>1</v>
      </c>
      <c r="C17" s="9">
        <v>4000</v>
      </c>
    </row>
    <row r="18" spans="1:3" x14ac:dyDescent="0.25">
      <c r="A18" s="9" t="s">
        <v>183</v>
      </c>
      <c r="B18" s="9">
        <v>1</v>
      </c>
      <c r="C18" s="9">
        <v>5000</v>
      </c>
    </row>
    <row r="19" spans="1:3" x14ac:dyDescent="0.25">
      <c r="A19" s="9" t="s">
        <v>184</v>
      </c>
      <c r="B19" s="9">
        <v>1</v>
      </c>
      <c r="C19" s="9">
        <v>3000</v>
      </c>
    </row>
    <row r="20" spans="1:3" x14ac:dyDescent="0.25">
      <c r="A20" s="9" t="s">
        <v>185</v>
      </c>
      <c r="B20" s="9">
        <v>1</v>
      </c>
      <c r="C20" s="9">
        <v>500</v>
      </c>
    </row>
    <row r="21" spans="1:3" x14ac:dyDescent="0.25">
      <c r="A21" s="9" t="s">
        <v>186</v>
      </c>
      <c r="B21" s="9">
        <v>1</v>
      </c>
      <c r="C21" s="9">
        <v>1500</v>
      </c>
    </row>
    <row r="22" spans="1:3" x14ac:dyDescent="0.25">
      <c r="A22" s="9" t="s">
        <v>187</v>
      </c>
      <c r="B22" s="9">
        <v>1</v>
      </c>
      <c r="C22" s="9">
        <v>1500</v>
      </c>
    </row>
    <row r="23" spans="1:3" x14ac:dyDescent="0.25">
      <c r="A23" s="9" t="s">
        <v>188</v>
      </c>
      <c r="B23" s="9">
        <v>1</v>
      </c>
      <c r="C23" s="9">
        <v>299</v>
      </c>
    </row>
    <row r="24" spans="1:3" x14ac:dyDescent="0.25">
      <c r="A24" s="9" t="s">
        <v>189</v>
      </c>
      <c r="B24" s="9">
        <v>1</v>
      </c>
      <c r="C24" s="9">
        <v>11934.021000000001</v>
      </c>
    </row>
    <row r="25" spans="1:3" x14ac:dyDescent="0.25">
      <c r="A25" s="9" t="s">
        <v>190</v>
      </c>
      <c r="B25" s="9">
        <v>1</v>
      </c>
      <c r="C25" s="9">
        <v>70</v>
      </c>
    </row>
    <row r="26" spans="1:3" x14ac:dyDescent="0.25">
      <c r="A26" s="9" t="s">
        <v>191</v>
      </c>
      <c r="B26" s="9">
        <v>1</v>
      </c>
      <c r="C26" s="9">
        <v>30</v>
      </c>
    </row>
    <row r="27" spans="1:3" x14ac:dyDescent="0.25">
      <c r="A27" s="9" t="s">
        <v>192</v>
      </c>
      <c r="B27" s="9">
        <v>1</v>
      </c>
      <c r="C27" s="9">
        <v>1500</v>
      </c>
    </row>
    <row r="28" spans="1:3" x14ac:dyDescent="0.25">
      <c r="A28" s="9" t="s">
        <v>193</v>
      </c>
      <c r="B28" s="9">
        <v>1</v>
      </c>
      <c r="C28" s="9">
        <v>3500</v>
      </c>
    </row>
    <row r="29" spans="1:3" x14ac:dyDescent="0.25">
      <c r="A29" s="9" t="s">
        <v>195</v>
      </c>
      <c r="B29" s="9">
        <v>1</v>
      </c>
      <c r="C29" s="9">
        <v>8000</v>
      </c>
    </row>
    <row r="30" spans="1:3" x14ac:dyDescent="0.25">
      <c r="A30" s="9"/>
      <c r="B30" s="9"/>
      <c r="C30" s="9"/>
    </row>
    <row r="31" spans="1:3" x14ac:dyDescent="0.25">
      <c r="A31" s="9"/>
      <c r="B31" s="9"/>
      <c r="C31" s="54">
        <f>SUM(C7:C29)</f>
        <v>75594.379000000001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34"/>
  <sheetViews>
    <sheetView workbookViewId="0">
      <selection activeCell="E6" sqref="E6"/>
    </sheetView>
  </sheetViews>
  <sheetFormatPr baseColWidth="10" defaultRowHeight="15.75" x14ac:dyDescent="0.25"/>
  <cols>
    <col min="1" max="1" width="16.25" customWidth="1"/>
    <col min="3" max="3" width="15.875" customWidth="1"/>
    <col min="4" max="4" width="12.5" customWidth="1"/>
  </cols>
  <sheetData>
    <row r="3" spans="1:5" x14ac:dyDescent="0.25">
      <c r="A3" s="9" t="s">
        <v>196</v>
      </c>
      <c r="B3" s="9"/>
      <c r="C3" s="9"/>
      <c r="D3" s="9"/>
      <c r="E3" s="9"/>
    </row>
    <row r="4" spans="1:5" x14ac:dyDescent="0.25">
      <c r="A4" s="9"/>
      <c r="B4" s="9"/>
      <c r="C4" s="9"/>
      <c r="D4" s="9"/>
      <c r="E4" s="9"/>
    </row>
    <row r="5" spans="1:5" x14ac:dyDescent="0.25">
      <c r="A5" s="9" t="s">
        <v>197</v>
      </c>
      <c r="B5" s="9"/>
      <c r="C5" s="9" t="s">
        <v>201</v>
      </c>
      <c r="D5" s="9" t="s">
        <v>203</v>
      </c>
      <c r="E5" s="9" t="s">
        <v>204</v>
      </c>
    </row>
    <row r="6" spans="1:5" x14ac:dyDescent="0.25">
      <c r="A6" s="9" t="s">
        <v>198</v>
      </c>
      <c r="B6" s="9"/>
      <c r="C6" s="9" t="s">
        <v>202</v>
      </c>
      <c r="D6" s="9">
        <v>1122.374</v>
      </c>
      <c r="E6" s="9">
        <f>D6*12</f>
        <v>13468.488000000001</v>
      </c>
    </row>
    <row r="7" spans="1:5" x14ac:dyDescent="0.25">
      <c r="A7" s="9" t="s">
        <v>199</v>
      </c>
      <c r="B7" s="9"/>
      <c r="C7" s="9" t="s">
        <v>202</v>
      </c>
      <c r="D7" s="9">
        <v>600</v>
      </c>
      <c r="E7" s="9">
        <f t="shared" ref="E7:E8" si="0">D7*12</f>
        <v>7200</v>
      </c>
    </row>
    <row r="8" spans="1:5" x14ac:dyDescent="0.25">
      <c r="A8" s="9" t="s">
        <v>200</v>
      </c>
      <c r="B8" s="9"/>
      <c r="C8" s="9" t="s">
        <v>202</v>
      </c>
      <c r="D8" s="9">
        <v>1208.873</v>
      </c>
      <c r="E8" s="9">
        <f t="shared" si="0"/>
        <v>14506.476000000001</v>
      </c>
    </row>
    <row r="9" spans="1:5" x14ac:dyDescent="0.25">
      <c r="A9" s="9"/>
      <c r="B9" s="9"/>
      <c r="C9" s="9" t="s">
        <v>205</v>
      </c>
      <c r="D9" s="9">
        <f>SUM(D6:D8)</f>
        <v>2931.2470000000003</v>
      </c>
      <c r="E9" s="9">
        <f>SUM(E6:E8)</f>
        <v>35174.964</v>
      </c>
    </row>
    <row r="10" spans="1:5" x14ac:dyDescent="0.25">
      <c r="A10" s="9"/>
      <c r="B10" s="9"/>
      <c r="C10" s="9"/>
      <c r="D10" s="9"/>
      <c r="E10" s="9"/>
    </row>
    <row r="12" spans="1:5" x14ac:dyDescent="0.25">
      <c r="A12" t="s">
        <v>206</v>
      </c>
    </row>
    <row r="13" spans="1:5" x14ac:dyDescent="0.25">
      <c r="A13" s="9" t="s">
        <v>207</v>
      </c>
      <c r="B13" s="9" t="s">
        <v>208</v>
      </c>
    </row>
    <row r="14" spans="1:5" x14ac:dyDescent="0.25">
      <c r="A14" s="9"/>
      <c r="B14" s="9"/>
    </row>
    <row r="15" spans="1:5" x14ac:dyDescent="0.25">
      <c r="A15" s="9" t="s">
        <v>209</v>
      </c>
      <c r="B15" s="9">
        <v>300</v>
      </c>
    </row>
    <row r="16" spans="1:5" x14ac:dyDescent="0.25">
      <c r="A16" s="9" t="s">
        <v>210</v>
      </c>
      <c r="B16" s="9">
        <v>150</v>
      </c>
    </row>
    <row r="17" spans="1:2" x14ac:dyDescent="0.25">
      <c r="A17" s="9" t="s">
        <v>211</v>
      </c>
      <c r="B17" s="9">
        <v>4552</v>
      </c>
    </row>
    <row r="18" spans="1:2" x14ac:dyDescent="0.25">
      <c r="A18" s="9" t="s">
        <v>212</v>
      </c>
      <c r="B18" s="9">
        <v>25</v>
      </c>
    </row>
    <row r="19" spans="1:2" x14ac:dyDescent="0.25">
      <c r="A19" s="9" t="s">
        <v>213</v>
      </c>
      <c r="B19" s="9">
        <v>50</v>
      </c>
    </row>
    <row r="20" spans="1:2" x14ac:dyDescent="0.25">
      <c r="A20" s="9"/>
      <c r="B20" s="9"/>
    </row>
    <row r="21" spans="1:2" x14ac:dyDescent="0.25">
      <c r="A21" s="9" t="s">
        <v>205</v>
      </c>
      <c r="B21" s="9">
        <f>SUM(B15:B19)</f>
        <v>5077</v>
      </c>
    </row>
    <row r="22" spans="1:2" x14ac:dyDescent="0.25">
      <c r="A22" s="9"/>
      <c r="B22" s="9"/>
    </row>
    <row r="23" spans="1:2" x14ac:dyDescent="0.25">
      <c r="A23" s="9" t="s">
        <v>214</v>
      </c>
      <c r="B23" s="9"/>
    </row>
    <row r="24" spans="1:2" x14ac:dyDescent="0.25">
      <c r="A24" s="9"/>
      <c r="B24" s="9"/>
    </row>
    <row r="25" spans="1:2" x14ac:dyDescent="0.25">
      <c r="A25" s="9" t="s">
        <v>215</v>
      </c>
      <c r="B25" s="9" t="s">
        <v>208</v>
      </c>
    </row>
    <row r="26" spans="1:2" x14ac:dyDescent="0.25">
      <c r="A26" s="9" t="s">
        <v>216</v>
      </c>
      <c r="B26" s="9">
        <v>360</v>
      </c>
    </row>
    <row r="27" spans="1:2" x14ac:dyDescent="0.25">
      <c r="A27" s="9" t="s">
        <v>217</v>
      </c>
      <c r="B27" s="9">
        <v>120</v>
      </c>
    </row>
    <row r="28" spans="1:2" x14ac:dyDescent="0.25">
      <c r="A28" s="9" t="s">
        <v>218</v>
      </c>
      <c r="B28" s="9">
        <v>1440</v>
      </c>
    </row>
    <row r="29" spans="1:2" x14ac:dyDescent="0.25">
      <c r="A29" s="9" t="s">
        <v>219</v>
      </c>
      <c r="B29" s="9">
        <v>4710</v>
      </c>
    </row>
    <row r="30" spans="1:2" x14ac:dyDescent="0.25">
      <c r="A30" s="9" t="s">
        <v>220</v>
      </c>
      <c r="B30" s="9">
        <v>60</v>
      </c>
    </row>
    <row r="31" spans="1:2" x14ac:dyDescent="0.25">
      <c r="A31" s="9" t="s">
        <v>221</v>
      </c>
      <c r="B31" s="9">
        <v>720</v>
      </c>
    </row>
    <row r="32" spans="1:2" x14ac:dyDescent="0.25">
      <c r="A32" s="9" t="s">
        <v>222</v>
      </c>
      <c r="B32" s="9">
        <v>240</v>
      </c>
    </row>
    <row r="33" spans="1:2" x14ac:dyDescent="0.25">
      <c r="A33" s="9" t="s">
        <v>223</v>
      </c>
      <c r="B33" s="9">
        <v>1440</v>
      </c>
    </row>
    <row r="34" spans="1:2" x14ac:dyDescent="0.25">
      <c r="A34" s="9" t="s">
        <v>205</v>
      </c>
      <c r="B34" s="9">
        <f>SUM(B26:B33)</f>
        <v>9090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9"/>
  <sheetViews>
    <sheetView workbookViewId="0">
      <selection activeCell="A2" sqref="A2"/>
    </sheetView>
  </sheetViews>
  <sheetFormatPr baseColWidth="10" defaultRowHeight="15.75" x14ac:dyDescent="0.25"/>
  <cols>
    <col min="1" max="1" width="19.875" customWidth="1"/>
  </cols>
  <sheetData>
    <row r="2" spans="1:6" x14ac:dyDescent="0.25">
      <c r="A2" s="9" t="s">
        <v>156</v>
      </c>
      <c r="B2" s="9"/>
      <c r="C2" s="9"/>
      <c r="D2" s="9"/>
      <c r="E2" s="9"/>
      <c r="F2" s="9"/>
    </row>
    <row r="3" spans="1:6" x14ac:dyDescent="0.25">
      <c r="A3" s="9"/>
      <c r="B3" s="9"/>
      <c r="C3" s="9"/>
      <c r="D3" s="9"/>
      <c r="E3" s="9"/>
      <c r="F3" s="9"/>
    </row>
    <row r="4" spans="1:6" x14ac:dyDescent="0.25">
      <c r="A4" s="9" t="s">
        <v>158</v>
      </c>
      <c r="B4" s="9" t="s">
        <v>157</v>
      </c>
      <c r="C4" s="9" t="s">
        <v>159</v>
      </c>
      <c r="D4" s="9" t="s">
        <v>160</v>
      </c>
      <c r="E4" s="9" t="s">
        <v>161</v>
      </c>
      <c r="F4" s="9" t="s">
        <v>162</v>
      </c>
    </row>
    <row r="5" spans="1:6" x14ac:dyDescent="0.25">
      <c r="A5" s="9" t="s">
        <v>163</v>
      </c>
      <c r="B5" s="5">
        <v>714000</v>
      </c>
      <c r="C5" s="5">
        <v>777840</v>
      </c>
      <c r="D5" s="5">
        <v>853445.25</v>
      </c>
      <c r="E5" s="5">
        <v>935592.52500000002</v>
      </c>
      <c r="F5" s="5">
        <v>1027588.9837500001</v>
      </c>
    </row>
    <row r="6" spans="1:6" x14ac:dyDescent="0.25">
      <c r="A6" s="9" t="s">
        <v>164</v>
      </c>
      <c r="B6" s="9">
        <v>30746.3688</v>
      </c>
      <c r="C6" s="9">
        <v>42401.301359999998</v>
      </c>
      <c r="D6" s="9">
        <v>43941.026790000004</v>
      </c>
      <c r="E6" s="9">
        <v>45469.762000000002</v>
      </c>
      <c r="F6" s="9">
        <v>46970.712099999997</v>
      </c>
    </row>
    <row r="7" spans="1:6" x14ac:dyDescent="0.25">
      <c r="A7" s="9" t="s">
        <v>165</v>
      </c>
      <c r="B7" s="9">
        <v>71044.182000000001</v>
      </c>
      <c r="C7" s="9">
        <v>100916.10984</v>
      </c>
      <c r="D7" s="9">
        <v>107534.11689999999</v>
      </c>
      <c r="E7" s="9">
        <v>114558.62892</v>
      </c>
      <c r="F7" s="9">
        <v>122029.01598</v>
      </c>
    </row>
    <row r="8" spans="1:6" x14ac:dyDescent="0.25">
      <c r="A8" s="9" t="s">
        <v>166</v>
      </c>
      <c r="B8" s="9">
        <v>17839.796399999999</v>
      </c>
      <c r="C8" s="9">
        <v>18762.225999999999</v>
      </c>
      <c r="D8" s="9">
        <v>19443.03414</v>
      </c>
      <c r="E8" s="9">
        <v>20120.075659999999</v>
      </c>
      <c r="F8" s="9">
        <v>20783.935280000002</v>
      </c>
    </row>
    <row r="9" spans="1:6" x14ac:dyDescent="0.25">
      <c r="A9" s="9" t="s">
        <v>167</v>
      </c>
      <c r="B9" s="9">
        <f>SUM(B5:B8)</f>
        <v>833630.34720000008</v>
      </c>
      <c r="C9" s="9">
        <f t="shared" ref="C9:F9" si="0">SUM(C5:C8)</f>
        <v>939919.63720000011</v>
      </c>
      <c r="D9" s="9">
        <f t="shared" si="0"/>
        <v>1024363.4278300001</v>
      </c>
      <c r="E9" s="9">
        <f t="shared" si="0"/>
        <v>1115740.9915800001</v>
      </c>
      <c r="F9" s="9">
        <f t="shared" si="0"/>
        <v>1217372.64711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0"/>
  <sheetViews>
    <sheetView workbookViewId="0">
      <selection activeCell="B9" sqref="B9"/>
    </sheetView>
  </sheetViews>
  <sheetFormatPr baseColWidth="10" defaultRowHeight="15.75" x14ac:dyDescent="0.25"/>
  <cols>
    <col min="1" max="1" width="27.25" customWidth="1"/>
  </cols>
  <sheetData>
    <row r="2" spans="1:2" x14ac:dyDescent="0.25">
      <c r="A2" s="10" t="s">
        <v>224</v>
      </c>
      <c r="B2" s="10"/>
    </row>
    <row r="3" spans="1:2" x14ac:dyDescent="0.25">
      <c r="A3" s="11"/>
      <c r="B3" s="11"/>
    </row>
    <row r="4" spans="1:2" x14ac:dyDescent="0.25">
      <c r="A4" s="11" t="s">
        <v>225</v>
      </c>
      <c r="B4" s="11">
        <v>2212</v>
      </c>
    </row>
    <row r="5" spans="1:2" x14ac:dyDescent="0.25">
      <c r="A5" s="11" t="s">
        <v>226</v>
      </c>
      <c r="B5" s="11">
        <v>4460</v>
      </c>
    </row>
    <row r="6" spans="1:2" x14ac:dyDescent="0.25">
      <c r="A6" s="11" t="s">
        <v>227</v>
      </c>
      <c r="B6" s="11">
        <v>5862.4960000000001</v>
      </c>
    </row>
    <row r="7" spans="1:2" x14ac:dyDescent="0.25">
      <c r="A7" s="11" t="s">
        <v>228</v>
      </c>
      <c r="B7" s="11">
        <v>10248.852000000001</v>
      </c>
    </row>
    <row r="8" spans="1:2" x14ac:dyDescent="0.25">
      <c r="A8" s="11" t="s">
        <v>229</v>
      </c>
      <c r="B8" s="11">
        <v>734</v>
      </c>
    </row>
    <row r="9" spans="1:2" x14ac:dyDescent="0.25">
      <c r="A9" s="11" t="s">
        <v>230</v>
      </c>
      <c r="B9" s="11">
        <v>4710</v>
      </c>
    </row>
    <row r="10" spans="1:2" x14ac:dyDescent="0.25">
      <c r="A10" s="12" t="s">
        <v>231</v>
      </c>
      <c r="B10" s="12">
        <v>5627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tabSelected="1" workbookViewId="0">
      <selection activeCell="A6" sqref="A6"/>
    </sheetView>
  </sheetViews>
  <sheetFormatPr baseColWidth="10" defaultRowHeight="15.75" x14ac:dyDescent="0.25"/>
  <cols>
    <col min="1" max="1" width="19.75" customWidth="1"/>
    <col min="2" max="2" width="19.5" bestFit="1" customWidth="1"/>
  </cols>
  <sheetData>
    <row r="1" spans="1:3" x14ac:dyDescent="0.25">
      <c r="A1" s="50" t="s">
        <v>236</v>
      </c>
      <c r="B1" s="50"/>
      <c r="C1" s="9"/>
    </row>
    <row r="2" spans="1:3" x14ac:dyDescent="0.25">
      <c r="A2" s="47"/>
      <c r="B2" s="48"/>
      <c r="C2" s="9"/>
    </row>
    <row r="3" spans="1:3" x14ac:dyDescent="0.25">
      <c r="A3" s="47" t="s">
        <v>237</v>
      </c>
      <c r="B3" s="49">
        <f>2420114</f>
        <v>2420114</v>
      </c>
      <c r="C3" s="9"/>
    </row>
    <row r="4" spans="1:3" ht="31.5" x14ac:dyDescent="0.25">
      <c r="A4" s="47" t="s">
        <v>238</v>
      </c>
      <c r="B4" s="49">
        <v>1670848</v>
      </c>
      <c r="C4" s="9"/>
    </row>
    <row r="5" spans="1:3" ht="47.25" x14ac:dyDescent="0.25">
      <c r="A5" s="47" t="s">
        <v>239</v>
      </c>
      <c r="B5" s="48">
        <v>0.47939999999999999</v>
      </c>
      <c r="C5" s="9"/>
    </row>
    <row r="6" spans="1:3" x14ac:dyDescent="0.25">
      <c r="A6" s="47" t="s">
        <v>240</v>
      </c>
      <c r="B6" s="49">
        <f>B4*B5</f>
        <v>801004.53119999997</v>
      </c>
      <c r="C6" s="9"/>
    </row>
    <row r="7" spans="1:3" ht="31.5" x14ac:dyDescent="0.25">
      <c r="A7" s="56" t="s">
        <v>241</v>
      </c>
      <c r="B7" s="57">
        <v>82346</v>
      </c>
      <c r="C7" s="9"/>
    </row>
    <row r="8" spans="1:3" ht="15.75" customHeight="1" x14ac:dyDescent="0.25">
      <c r="A8" s="55" t="s">
        <v>242</v>
      </c>
      <c r="B8" s="55"/>
      <c r="C8" s="9"/>
    </row>
    <row r="9" spans="1:3" x14ac:dyDescent="0.25">
      <c r="A9" s="47" t="s">
        <v>243</v>
      </c>
      <c r="B9" s="48">
        <v>0.32</v>
      </c>
      <c r="C9" s="9"/>
    </row>
    <row r="10" spans="1:3" x14ac:dyDescent="0.25">
      <c r="A10" s="47" t="s">
        <v>244</v>
      </c>
      <c r="B10" s="48">
        <v>0.26</v>
      </c>
      <c r="C10" s="9"/>
    </row>
    <row r="11" spans="1:3" x14ac:dyDescent="0.25">
      <c r="A11" s="47" t="s">
        <v>73</v>
      </c>
      <c r="B11" s="48">
        <v>0.1</v>
      </c>
      <c r="C11" s="9"/>
    </row>
    <row r="12" spans="1:3" x14ac:dyDescent="0.25">
      <c r="A12" s="47" t="s">
        <v>245</v>
      </c>
      <c r="B12" s="48">
        <v>0.06</v>
      </c>
      <c r="C12" s="9"/>
    </row>
    <row r="13" spans="1:3" x14ac:dyDescent="0.25">
      <c r="A13" s="47" t="s">
        <v>246</v>
      </c>
      <c r="B13" s="48">
        <v>0.03</v>
      </c>
      <c r="C13" s="9"/>
    </row>
    <row r="14" spans="1:3" x14ac:dyDescent="0.25">
      <c r="A14" s="47" t="s">
        <v>247</v>
      </c>
      <c r="B14" s="48">
        <v>0.02</v>
      </c>
      <c r="C14" s="9"/>
    </row>
    <row r="15" spans="1:3" x14ac:dyDescent="0.25">
      <c r="A15" s="47" t="s">
        <v>248</v>
      </c>
      <c r="B15" s="48">
        <v>0.01</v>
      </c>
      <c r="C15" s="9"/>
    </row>
    <row r="16" spans="1:3" x14ac:dyDescent="0.25">
      <c r="A16" s="47" t="s">
        <v>166</v>
      </c>
      <c r="B16" s="48">
        <v>0.2</v>
      </c>
      <c r="C16" s="9"/>
    </row>
    <row r="17" spans="1:3" ht="33" customHeight="1" x14ac:dyDescent="0.25">
      <c r="A17" s="47" t="s">
        <v>249</v>
      </c>
      <c r="B17" s="54">
        <f>B6*B7</f>
        <v>65959519126.195198</v>
      </c>
      <c r="C17" s="9"/>
    </row>
    <row r="18" spans="1:3" ht="33" customHeight="1" x14ac:dyDescent="0.25">
      <c r="A18" s="47" t="s">
        <v>251</v>
      </c>
      <c r="B18" s="51">
        <f>B17*B11</f>
        <v>6595951912.6195202</v>
      </c>
      <c r="C18" s="52">
        <f>1</f>
        <v>1</v>
      </c>
    </row>
    <row r="19" spans="1:3" ht="30" customHeight="1" x14ac:dyDescent="0.25">
      <c r="A19" s="47" t="s">
        <v>250</v>
      </c>
      <c r="B19" s="49">
        <v>15000000</v>
      </c>
      <c r="C19" s="53">
        <f>(B19*C18)/B18</f>
        <v>2.2741220977220392E-3</v>
      </c>
    </row>
  </sheetData>
  <mergeCells count="2">
    <mergeCell ref="A8:B8"/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10</vt:i4>
      </vt:variant>
    </vt:vector>
  </HeadingPairs>
  <TitlesOfParts>
    <vt:vector size="10" baseType="lpstr">
      <vt:lpstr>Punto de Fabrica</vt:lpstr>
      <vt:lpstr>Analisis de sensibilidad1</vt:lpstr>
      <vt:lpstr>Analisis de sensibilidad 2</vt:lpstr>
      <vt:lpstr>Analisis de sensibilidad 3</vt:lpstr>
      <vt:lpstr>Infraestructura</vt:lpstr>
      <vt:lpstr>Costos Administrativos</vt:lpstr>
      <vt:lpstr>Costos de produccion</vt:lpstr>
      <vt:lpstr>Capital de trabajo</vt:lpstr>
      <vt:lpstr>Estimacion mercado objetivo</vt:lpstr>
      <vt:lpstr>proyeccion de ingresos</vt:lpstr>
    </vt:vector>
  </TitlesOfParts>
  <Company>Hogar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Willmer Escobar</dc:creator>
  <cp:lastModifiedBy>user</cp:lastModifiedBy>
  <dcterms:created xsi:type="dcterms:W3CDTF">2016-08-18T16:10:19Z</dcterms:created>
  <dcterms:modified xsi:type="dcterms:W3CDTF">2018-09-02T04:34:19Z</dcterms:modified>
</cp:coreProperties>
</file>